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2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gnieszka\Desktop\Plany inne\Plany zrobione\Sokołów Podlaski\Sokołów Podl. - gotowe\Sokołów Podl - poprawki\Sokołów poprawki\"/>
    </mc:Choice>
  </mc:AlternateContent>
  <bookViews>
    <workbookView xWindow="0" yWindow="0" windowWidth="9705" windowHeight="6405" tabRatio="799" firstSheet="7" activeTab="13"/>
  </bookViews>
  <sheets>
    <sheet name="INFO" sheetId="1" r:id="rId1"/>
    <sheet name="Wskaźniki" sheetId="16" r:id="rId2"/>
    <sheet name="Charakterystyka" sheetId="10" r:id="rId3"/>
    <sheet name="En. elektryczna" sheetId="2" r:id="rId4"/>
    <sheet name="En. elektryczna wykr." sheetId="4" r:id="rId5"/>
    <sheet name="Ruch lokalny" sheetId="9" r:id="rId6"/>
    <sheet name="Tranzyt" sheetId="7" r:id="rId7"/>
    <sheet name="Ruch lokalny - emisja" sheetId="18" r:id="rId8"/>
    <sheet name="Ciepło" sheetId="12" r:id="rId9"/>
    <sheet name="Ciepło wykr." sheetId="13" r:id="rId10"/>
    <sheet name="Ciepło - niska emisja" sheetId="19" r:id="rId11"/>
    <sheet name="Oświetlenie" sheetId="14" r:id="rId12"/>
    <sheet name="Obiekty publiczne" sheetId="15" r:id="rId13"/>
    <sheet name="Bilans" sheetId="17" r:id="rId14"/>
    <sheet name="Planowane rezultaty" sheetId="22" r:id="rId15"/>
  </sheets>
  <definedNames>
    <definedName name="_xlnm.Print_Area" localSheetId="13">Bilans!$A$1:$L$90</definedName>
    <definedName name="_xlnm.Print_Area" localSheetId="2">Charakterystyka!$A$1:$AD$121</definedName>
    <definedName name="_xlnm.Print_Area" localSheetId="8">Ciepło!$A$1:$K$25</definedName>
    <definedName name="_xlnm.Print_Area" localSheetId="10">'Ciepło - niska emisja'!$A$1:$P$55</definedName>
    <definedName name="_xlnm.Print_Area" localSheetId="9">'Ciepło wykr.'!$A$1:$L$38</definedName>
    <definedName name="_xlnm.Print_Area" localSheetId="3">'En. elektryczna'!$A$1:$K$41</definedName>
    <definedName name="_xlnm.Print_Area" localSheetId="4">'En. elektryczna wykr.'!$A$1:$L$39</definedName>
    <definedName name="_xlnm.Print_Area" localSheetId="12">'Obiekty publiczne'!$A$1:$N$25</definedName>
    <definedName name="_xlnm.Print_Area" localSheetId="11">Oświetlenie!$A$1:$G$26</definedName>
    <definedName name="_xlnm.Print_Area" localSheetId="5">'Ruch lokalny'!$A$1:$L$95</definedName>
    <definedName name="_xlnm.Print_Area" localSheetId="6">Tranzyt!$A$1:$O$48</definedName>
    <definedName name="_xlnm.Print_Area" localSheetId="1">Wskaźniki!$A$1:$I$16</definedName>
    <definedName name="_xlnm.Print_Titles" localSheetId="13">Bilans!$2:$2</definedName>
    <definedName name="_xlnm.Print_Titles" localSheetId="2">Charakterystyka!$2:$3</definedName>
    <definedName name="_xlnm.Print_Titles" localSheetId="9">'Ciepło wykr.'!$2:$3</definedName>
    <definedName name="_xlnm.Print_Titles" localSheetId="5">'Ruch lokalny'!$2:$3</definedName>
  </definedNames>
  <calcPr calcId="152511"/>
</workbook>
</file>

<file path=xl/calcChain.xml><?xml version="1.0" encoding="utf-8"?>
<calcChain xmlns="http://schemas.openxmlformats.org/spreadsheetml/2006/main">
  <c r="K5" i="18" l="1"/>
  <c r="B6" i="14"/>
  <c r="G6" i="14"/>
  <c r="E8" i="22"/>
  <c r="D8" i="22"/>
  <c r="C8" i="22"/>
  <c r="K78" i="17"/>
  <c r="J78" i="17"/>
  <c r="I78" i="17"/>
  <c r="K77" i="17"/>
  <c r="J77" i="17"/>
  <c r="I77" i="17"/>
  <c r="L78" i="17"/>
  <c r="L77" i="17"/>
  <c r="J80" i="17"/>
  <c r="I80" i="17"/>
  <c r="K7" i="17"/>
  <c r="H24" i="12"/>
  <c r="H21" i="12"/>
  <c r="H22" i="12"/>
  <c r="H23" i="12"/>
  <c r="K6" i="17"/>
  <c r="J7" i="17"/>
  <c r="I7" i="17"/>
  <c r="L8" i="17"/>
  <c r="L7" i="17"/>
  <c r="L6" i="17"/>
  <c r="I47" i="7"/>
  <c r="H47" i="7"/>
  <c r="G47" i="7"/>
  <c r="C14" i="22"/>
  <c r="D13" i="22"/>
  <c r="C11" i="22"/>
  <c r="E13" i="22"/>
  <c r="D10" i="22"/>
  <c r="C13" i="22"/>
  <c r="C7" i="22"/>
  <c r="L80" i="17" l="1"/>
  <c r="K80" i="17"/>
  <c r="L9" i="17"/>
  <c r="K9" i="17"/>
  <c r="C10" i="22"/>
  <c r="E10" i="22"/>
  <c r="F8" i="22"/>
  <c r="F10" i="22" l="1"/>
  <c r="F13" i="22"/>
  <c r="H20" i="12" l="1"/>
  <c r="H16" i="12"/>
  <c r="H13" i="12"/>
  <c r="H14" i="12"/>
  <c r="H15" i="12"/>
  <c r="H12" i="12"/>
  <c r="H9" i="12"/>
  <c r="H6" i="12"/>
  <c r="H7" i="12"/>
  <c r="H8" i="12"/>
  <c r="H5" i="12"/>
  <c r="H19" i="12"/>
  <c r="H11" i="12"/>
  <c r="C20" i="19" l="1"/>
  <c r="H20" i="19" s="1"/>
  <c r="C7" i="19"/>
  <c r="C6" i="19"/>
  <c r="F33" i="19"/>
  <c r="F32" i="19"/>
  <c r="C22" i="19" s="1"/>
  <c r="H22" i="19" s="1"/>
  <c r="F31" i="19"/>
  <c r="C21" i="19" s="1"/>
  <c r="G21" i="19" s="1"/>
  <c r="E33" i="19"/>
  <c r="C13" i="19" s="1"/>
  <c r="H13" i="19" s="1"/>
  <c r="E32" i="19"/>
  <c r="C15" i="19" s="1"/>
  <c r="H15" i="19" s="1"/>
  <c r="E31" i="19"/>
  <c r="C14" i="19" s="1"/>
  <c r="I21" i="19" s="1"/>
  <c r="D33" i="19"/>
  <c r="D32" i="19"/>
  <c r="C8" i="19" s="1"/>
  <c r="I8" i="19" s="1"/>
  <c r="D31" i="19"/>
  <c r="B20" i="19"/>
  <c r="H7" i="19"/>
  <c r="G21" i="18"/>
  <c r="G22" i="18" s="1"/>
  <c r="G20" i="18"/>
  <c r="G19" i="18"/>
  <c r="G14" i="18"/>
  <c r="G13" i="18"/>
  <c r="G12" i="18"/>
  <c r="G15" i="18" s="1"/>
  <c r="G7" i="18"/>
  <c r="G6" i="18"/>
  <c r="G5" i="18"/>
  <c r="G8" i="18" s="1"/>
  <c r="I6" i="19" l="1"/>
  <c r="I7" i="19"/>
  <c r="D14" i="19"/>
  <c r="I9" i="19"/>
  <c r="H14" i="19"/>
  <c r="H16" i="19" s="1"/>
  <c r="F6" i="19"/>
  <c r="F8" i="19"/>
  <c r="F21" i="19"/>
  <c r="D6" i="19"/>
  <c r="H6" i="19"/>
  <c r="D8" i="19"/>
  <c r="H8" i="19"/>
  <c r="F14" i="19"/>
  <c r="D21" i="19"/>
  <c r="H21" i="19"/>
  <c r="H23" i="19" s="1"/>
  <c r="H9" i="19"/>
  <c r="E7" i="19"/>
  <c r="G7" i="19"/>
  <c r="E13" i="19"/>
  <c r="G13" i="19"/>
  <c r="I13" i="19"/>
  <c r="E15" i="19"/>
  <c r="G15" i="19"/>
  <c r="I15" i="19"/>
  <c r="E20" i="19"/>
  <c r="G20" i="19"/>
  <c r="I20" i="19"/>
  <c r="E22" i="19"/>
  <c r="G22" i="19"/>
  <c r="I22" i="19"/>
  <c r="E6" i="19"/>
  <c r="G6" i="19"/>
  <c r="D7" i="19"/>
  <c r="D9" i="19" s="1"/>
  <c r="F7" i="19"/>
  <c r="E8" i="19"/>
  <c r="G8" i="19"/>
  <c r="D13" i="19"/>
  <c r="D16" i="19" s="1"/>
  <c r="F13" i="19"/>
  <c r="E14" i="19"/>
  <c r="G14" i="19"/>
  <c r="I14" i="19"/>
  <c r="D15" i="19"/>
  <c r="F15" i="19"/>
  <c r="D20" i="19"/>
  <c r="F20" i="19"/>
  <c r="E21" i="19"/>
  <c r="D22" i="19"/>
  <c r="F22" i="19"/>
  <c r="I23" i="19" l="1"/>
  <c r="F23" i="19"/>
  <c r="E23" i="19"/>
  <c r="H27" i="19"/>
  <c r="F9" i="19"/>
  <c r="E9" i="19"/>
  <c r="I16" i="19"/>
  <c r="I27" i="19" s="1"/>
  <c r="E16" i="19"/>
  <c r="D23" i="19"/>
  <c r="D27" i="19" s="1"/>
  <c r="F16" i="19"/>
  <c r="F27" i="19" s="1"/>
  <c r="G9" i="19"/>
  <c r="G23" i="19"/>
  <c r="G16" i="19"/>
  <c r="E27" i="19" l="1"/>
  <c r="G27" i="19"/>
  <c r="C13" i="14" l="1"/>
  <c r="C12" i="14"/>
  <c r="E6" i="2"/>
  <c r="C6" i="17" s="1"/>
  <c r="Q67" i="10"/>
  <c r="F87" i="9"/>
  <c r="F56" i="9"/>
  <c r="F28" i="9"/>
  <c r="C53" i="9" l="1"/>
  <c r="F22" i="9"/>
  <c r="F19" i="9"/>
  <c r="F53" i="9" l="1"/>
  <c r="C50" i="9" l="1"/>
  <c r="C47" i="9"/>
  <c r="C44" i="9"/>
  <c r="C41" i="9"/>
  <c r="C38" i="9"/>
  <c r="C35" i="9"/>
  <c r="C25" i="9"/>
  <c r="F25" i="9" s="1"/>
  <c r="C16" i="9"/>
  <c r="C13" i="9"/>
  <c r="C10" i="9"/>
  <c r="C7" i="9"/>
  <c r="F10" i="9" l="1"/>
  <c r="C5" i="18"/>
  <c r="F16" i="9"/>
  <c r="C7" i="18"/>
  <c r="F41" i="9"/>
  <c r="C13" i="18"/>
  <c r="F47" i="9"/>
  <c r="F13" i="9"/>
  <c r="C6" i="18"/>
  <c r="F38" i="9"/>
  <c r="C12" i="18"/>
  <c r="F44" i="9"/>
  <c r="C14" i="18"/>
  <c r="F50" i="9"/>
  <c r="C56" i="9"/>
  <c r="F35" i="9"/>
  <c r="C28" i="9"/>
  <c r="F7" i="9"/>
  <c r="C22" i="2"/>
  <c r="C21" i="2"/>
  <c r="E10" i="2"/>
  <c r="D6" i="17" s="1"/>
  <c r="M12" i="18" l="1"/>
  <c r="K12" i="18"/>
  <c r="I12" i="18"/>
  <c r="E12" i="18"/>
  <c r="K6" i="18"/>
  <c r="I6" i="18"/>
  <c r="E6" i="18"/>
  <c r="M6" i="18"/>
  <c r="M7" i="18"/>
  <c r="K7" i="18"/>
  <c r="I7" i="18"/>
  <c r="E7" i="18"/>
  <c r="M5" i="18"/>
  <c r="M8" i="18" s="1"/>
  <c r="I5" i="18"/>
  <c r="E5" i="18"/>
  <c r="E8" i="18" s="1"/>
  <c r="M14" i="18"/>
  <c r="K14" i="18"/>
  <c r="I14" i="18"/>
  <c r="E14" i="18"/>
  <c r="K13" i="18"/>
  <c r="M13" i="18"/>
  <c r="I13" i="18"/>
  <c r="E13" i="18"/>
  <c r="E33" i="7"/>
  <c r="I32" i="7"/>
  <c r="F32" i="7"/>
  <c r="G32" i="7" s="1"/>
  <c r="D32" i="7"/>
  <c r="J32" i="7" s="1"/>
  <c r="I31" i="7"/>
  <c r="F31" i="7"/>
  <c r="G31" i="7" s="1"/>
  <c r="D31" i="7"/>
  <c r="I30" i="7"/>
  <c r="F30" i="7"/>
  <c r="G30" i="7" s="1"/>
  <c r="D30" i="7"/>
  <c r="I29" i="7"/>
  <c r="F29" i="7"/>
  <c r="G29" i="7" s="1"/>
  <c r="D29" i="7"/>
  <c r="J29" i="7" s="1"/>
  <c r="I28" i="7"/>
  <c r="F28" i="7"/>
  <c r="G28" i="7" s="1"/>
  <c r="L28" i="7" s="1"/>
  <c r="D28" i="7"/>
  <c r="I27" i="7"/>
  <c r="F27" i="7"/>
  <c r="G27" i="7" s="1"/>
  <c r="D27" i="7"/>
  <c r="F26" i="7"/>
  <c r="K26" i="7" s="1"/>
  <c r="D26" i="7"/>
  <c r="E15" i="18" l="1"/>
  <c r="K15" i="18"/>
  <c r="I8" i="18"/>
  <c r="K8" i="18"/>
  <c r="I15" i="18"/>
  <c r="M15" i="18"/>
  <c r="L29" i="7"/>
  <c r="L27" i="7"/>
  <c r="L30" i="7"/>
  <c r="K29" i="7"/>
  <c r="K28" i="7"/>
  <c r="J28" i="7"/>
  <c r="D33" i="7"/>
  <c r="J40" i="7" s="1"/>
  <c r="K27" i="7"/>
  <c r="J26" i="7"/>
  <c r="K30" i="7"/>
  <c r="L32" i="7"/>
  <c r="J30" i="7"/>
  <c r="L31" i="7"/>
  <c r="J27" i="7"/>
  <c r="J31" i="7"/>
  <c r="K31" i="7"/>
  <c r="K32" i="7"/>
  <c r="G26" i="7"/>
  <c r="F33" i="7"/>
  <c r="K40" i="7" s="1"/>
  <c r="Q105" i="10"/>
  <c r="J33" i="7" l="1"/>
  <c r="E40" i="7" s="1"/>
  <c r="G33" i="7"/>
  <c r="L40" i="7" s="1"/>
  <c r="L26" i="7"/>
  <c r="L33" i="7" s="1"/>
  <c r="G40" i="7" s="1"/>
  <c r="K33" i="7"/>
  <c r="F40" i="7" s="1"/>
  <c r="E22" i="7" l="1"/>
  <c r="I21" i="7"/>
  <c r="F21" i="7"/>
  <c r="G21" i="7" s="1"/>
  <c r="D21" i="7"/>
  <c r="J21" i="7" s="1"/>
  <c r="I20" i="7"/>
  <c r="F20" i="7"/>
  <c r="D20" i="7"/>
  <c r="I19" i="7"/>
  <c r="F19" i="7"/>
  <c r="G19" i="7" s="1"/>
  <c r="D19" i="7"/>
  <c r="J19" i="7" s="1"/>
  <c r="I18" i="7"/>
  <c r="F18" i="7"/>
  <c r="D18" i="7"/>
  <c r="J18" i="7" s="1"/>
  <c r="I17" i="7"/>
  <c r="F17" i="7"/>
  <c r="G17" i="7" s="1"/>
  <c r="D17" i="7"/>
  <c r="I16" i="7"/>
  <c r="F16" i="7"/>
  <c r="D16" i="7"/>
  <c r="F15" i="7"/>
  <c r="G15" i="7" s="1"/>
  <c r="D15" i="7"/>
  <c r="J15" i="7" s="1"/>
  <c r="F11" i="7"/>
  <c r="G11" i="7" s="1"/>
  <c r="F10" i="7"/>
  <c r="G10" i="7" s="1"/>
  <c r="F9" i="7"/>
  <c r="G9" i="7" s="1"/>
  <c r="F8" i="7"/>
  <c r="G8" i="7" s="1"/>
  <c r="F7" i="7"/>
  <c r="G7" i="7" s="1"/>
  <c r="F6" i="7"/>
  <c r="G6" i="7" s="1"/>
  <c r="F5" i="7"/>
  <c r="G5" i="7" s="1"/>
  <c r="D11" i="7"/>
  <c r="D10" i="7"/>
  <c r="D9" i="7"/>
  <c r="D8" i="7"/>
  <c r="D7" i="7"/>
  <c r="D6" i="7"/>
  <c r="D5" i="7"/>
  <c r="K18" i="7" l="1"/>
  <c r="K20" i="7"/>
  <c r="G18" i="7"/>
  <c r="L18" i="7" s="1"/>
  <c r="J17" i="7"/>
  <c r="L17" i="7"/>
  <c r="K16" i="7"/>
  <c r="L21" i="7"/>
  <c r="G20" i="7"/>
  <c r="L20" i="7" s="1"/>
  <c r="G16" i="7"/>
  <c r="L16" i="7" s="1"/>
  <c r="K15" i="7"/>
  <c r="J16" i="7"/>
  <c r="L19" i="7"/>
  <c r="J20" i="7"/>
  <c r="K17" i="7"/>
  <c r="K19" i="7"/>
  <c r="K21" i="7"/>
  <c r="D22" i="7"/>
  <c r="J39" i="7" s="1"/>
  <c r="F22" i="7"/>
  <c r="K39" i="7" s="1"/>
  <c r="L15" i="7"/>
  <c r="J22" i="7" l="1"/>
  <c r="E39" i="7" s="1"/>
  <c r="K22" i="7"/>
  <c r="F39" i="7" s="1"/>
  <c r="L22" i="7"/>
  <c r="G39" i="7" s="1"/>
  <c r="G22" i="7"/>
  <c r="L39" i="7" s="1"/>
  <c r="C14" i="12" l="1"/>
  <c r="E12" i="7"/>
  <c r="I11" i="7"/>
  <c r="I10" i="7"/>
  <c r="I9" i="7"/>
  <c r="I8" i="7"/>
  <c r="I7" i="7"/>
  <c r="I6" i="7"/>
  <c r="D19" i="17" l="1"/>
  <c r="C19" i="17"/>
  <c r="G9" i="14" l="1"/>
  <c r="D13" i="17" s="1"/>
  <c r="E9" i="14"/>
  <c r="D14" i="17" l="1"/>
  <c r="G16" i="12"/>
  <c r="C13" i="12"/>
  <c r="G9" i="12" s="1"/>
  <c r="C9" i="12"/>
  <c r="G6" i="12" l="1"/>
  <c r="G7" i="12"/>
  <c r="J7" i="12" s="1"/>
  <c r="G8" i="12"/>
  <c r="J8" i="12" s="1"/>
  <c r="G5" i="12"/>
  <c r="J5" i="12" s="1"/>
  <c r="G15" i="12"/>
  <c r="J15" i="12" s="1"/>
  <c r="G13" i="12"/>
  <c r="G14" i="12"/>
  <c r="J14" i="12" s="1"/>
  <c r="G12" i="12"/>
  <c r="J12" i="12" s="1"/>
  <c r="J9" i="12" l="1"/>
  <c r="J16" i="12"/>
  <c r="D8" i="17" l="1"/>
  <c r="J6" i="17"/>
  <c r="J9" i="17" s="1"/>
  <c r="C8" i="17"/>
  <c r="I6" i="17"/>
  <c r="I9" i="17" s="1"/>
  <c r="Q28" i="10"/>
  <c r="Q48" i="10"/>
  <c r="Y28" i="10" s="1"/>
  <c r="Z28" i="10" s="1"/>
  <c r="AA28" i="10" s="1"/>
  <c r="AB28" i="10" s="1"/>
  <c r="AC28" i="10" s="1"/>
  <c r="AD28" i="10" s="1"/>
  <c r="Q9" i="10"/>
  <c r="Y9" i="10" s="1"/>
  <c r="Z9" i="10" s="1"/>
  <c r="AA9" i="10" s="1"/>
  <c r="AB9" i="10" s="1"/>
  <c r="AC9" i="10" s="1"/>
  <c r="AD9" i="10" s="1"/>
  <c r="Y105" i="10"/>
  <c r="Z105" i="10" s="1"/>
  <c r="AA105" i="10" s="1"/>
  <c r="AB105" i="10" s="1"/>
  <c r="AC105" i="10" s="1"/>
  <c r="AD105" i="10" s="1"/>
  <c r="Q86" i="10"/>
  <c r="C84" i="9" l="1"/>
  <c r="F84" i="9" s="1"/>
  <c r="C66" i="9"/>
  <c r="C69" i="9"/>
  <c r="C72" i="9"/>
  <c r="C78" i="9"/>
  <c r="F78" i="9" s="1"/>
  <c r="C75" i="9"/>
  <c r="C81" i="9"/>
  <c r="F81" i="9" s="1"/>
  <c r="E19" i="17"/>
  <c r="F19" i="17" s="1"/>
  <c r="X86" i="10"/>
  <c r="Y67" i="10"/>
  <c r="F75" i="9" l="1"/>
  <c r="C21" i="18"/>
  <c r="F72" i="9"/>
  <c r="C20" i="18"/>
  <c r="C87" i="9"/>
  <c r="F66" i="9"/>
  <c r="F69" i="9"/>
  <c r="C19" i="18"/>
  <c r="Z67" i="10"/>
  <c r="AA67" i="10" s="1"/>
  <c r="AB67" i="10" s="1"/>
  <c r="AC67" i="10" s="1"/>
  <c r="AD67" i="10" s="1"/>
  <c r="C15" i="12" s="1"/>
  <c r="G24" i="12" s="1"/>
  <c r="Y86" i="10"/>
  <c r="M19" i="18" l="1"/>
  <c r="K19" i="18"/>
  <c r="I19" i="18"/>
  <c r="E19" i="18"/>
  <c r="K20" i="18"/>
  <c r="M20" i="18"/>
  <c r="I20" i="18"/>
  <c r="E20" i="18"/>
  <c r="M21" i="18"/>
  <c r="I21" i="18"/>
  <c r="E21" i="18"/>
  <c r="K21" i="18"/>
  <c r="Z86" i="10"/>
  <c r="G21" i="12"/>
  <c r="G20" i="12"/>
  <c r="J20" i="12" s="1"/>
  <c r="G23" i="12"/>
  <c r="J23" i="12" s="1"/>
  <c r="G22" i="12"/>
  <c r="J22" i="12" s="1"/>
  <c r="AA86" i="10"/>
  <c r="E22" i="18" l="1"/>
  <c r="K22" i="18"/>
  <c r="I22" i="18"/>
  <c r="M22" i="18"/>
  <c r="J24" i="12"/>
  <c r="E8" i="17" s="1"/>
  <c r="AB86" i="10"/>
  <c r="F8" i="17" l="1"/>
  <c r="AD86" i="10"/>
  <c r="AC86" i="10"/>
  <c r="L11" i="7" l="1"/>
  <c r="K10" i="7"/>
  <c r="L9" i="7"/>
  <c r="L8" i="7"/>
  <c r="K7" i="7"/>
  <c r="K6" i="7"/>
  <c r="J10" i="7"/>
  <c r="J8" i="7"/>
  <c r="J7" i="7"/>
  <c r="J6" i="7"/>
  <c r="L5" i="7"/>
  <c r="K11" i="7"/>
  <c r="J11" i="7"/>
  <c r="K9" i="7"/>
  <c r="J9" i="7"/>
  <c r="K8" i="7"/>
  <c r="L7" i="7"/>
  <c r="L6" i="7"/>
  <c r="L10" i="7" l="1"/>
  <c r="D12" i="7"/>
  <c r="J38" i="7" s="1"/>
  <c r="J41" i="7" s="1"/>
  <c r="J5" i="7"/>
  <c r="J12" i="7" s="1"/>
  <c r="E38" i="7" s="1"/>
  <c r="E41" i="7" s="1"/>
  <c r="G46" i="7" s="1"/>
  <c r="G48" i="7" s="1"/>
  <c r="C7" i="17" s="1"/>
  <c r="F12" i="7"/>
  <c r="K38" i="7" s="1"/>
  <c r="K41" i="7" s="1"/>
  <c r="G12" i="7"/>
  <c r="L38" i="7" s="1"/>
  <c r="L41" i="7" s="1"/>
  <c r="K5" i="7"/>
  <c r="K12" i="7" s="1"/>
  <c r="F38" i="7" s="1"/>
  <c r="F41" i="7" s="1"/>
  <c r="H46" i="7" s="1"/>
  <c r="H48" i="7" s="1"/>
  <c r="D7" i="17" s="1"/>
  <c r="L12" i="7"/>
  <c r="G38" i="7" s="1"/>
  <c r="G41" i="7" s="1"/>
  <c r="I46" i="7" s="1"/>
  <c r="I48" i="7" s="1"/>
  <c r="E7" i="17" s="1"/>
  <c r="H35" i="2" l="1"/>
  <c r="H34" i="2"/>
  <c r="H33" i="2"/>
  <c r="F7" i="17" l="1"/>
  <c r="F22" i="2"/>
  <c r="J34" i="2" s="1"/>
  <c r="F21" i="2"/>
  <c r="J33" i="2" s="1"/>
  <c r="I33" i="2"/>
  <c r="I34" i="2" l="1"/>
  <c r="D23" i="2"/>
  <c r="F23" i="2" l="1"/>
  <c r="D24" i="2"/>
  <c r="D10" i="17"/>
  <c r="D4" i="22" s="1"/>
  <c r="D6" i="22" s="1"/>
  <c r="D25" i="2" l="1"/>
  <c r="F24" i="2"/>
  <c r="D18" i="17"/>
  <c r="D21" i="17" s="1"/>
  <c r="D26" i="2" l="1"/>
  <c r="F25" i="2"/>
  <c r="D20" i="17"/>
  <c r="C10" i="17"/>
  <c r="C4" i="22" s="1"/>
  <c r="C18" i="17" l="1"/>
  <c r="C20" i="17" s="1"/>
  <c r="C6" i="22"/>
  <c r="D27" i="2"/>
  <c r="F26" i="2"/>
  <c r="C21" i="17"/>
  <c r="F27" i="2" l="1"/>
  <c r="D28" i="2"/>
  <c r="F28" i="2" l="1"/>
  <c r="D29" i="2"/>
  <c r="C14" i="2" s="1"/>
  <c r="F29" i="2" l="1"/>
  <c r="J35" i="2" s="1"/>
  <c r="I35" i="2"/>
  <c r="E14" i="2"/>
  <c r="E6" i="17" s="1"/>
  <c r="F6" i="17" l="1"/>
  <c r="F10" i="17" l="1"/>
  <c r="F18" i="17" s="1"/>
  <c r="E10" i="17"/>
  <c r="E18" i="17" l="1"/>
  <c r="E4" i="22"/>
  <c r="F20" i="17"/>
  <c r="F21" i="17"/>
  <c r="E21" i="17"/>
  <c r="E20" i="17"/>
  <c r="F4" i="22" l="1"/>
  <c r="F6" i="22" s="1"/>
  <c r="E6" i="22"/>
</calcChain>
</file>

<file path=xl/sharedStrings.xml><?xml version="1.0" encoding="utf-8"?>
<sst xmlns="http://schemas.openxmlformats.org/spreadsheetml/2006/main" count="567" uniqueCount="275">
  <si>
    <t>Karta informacyjna</t>
  </si>
  <si>
    <t>Nazwa projektu</t>
  </si>
  <si>
    <t>Opis Projektu</t>
  </si>
  <si>
    <t>Spis tabel</t>
  </si>
  <si>
    <t>Nazwa</t>
  </si>
  <si>
    <t>Opis</t>
  </si>
  <si>
    <t>INFO</t>
  </si>
  <si>
    <r>
      <t>Wykresy obrazujące emisję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 ruchu tranzytowego i lokalnego </t>
    </r>
  </si>
  <si>
    <t>Oświetlenie</t>
  </si>
  <si>
    <t>Ob. publ.</t>
  </si>
  <si>
    <t>Ciepło</t>
  </si>
  <si>
    <t>Ciepło wykr.</t>
  </si>
  <si>
    <t>SUMA</t>
  </si>
  <si>
    <t>Opis zawartości dokumentu</t>
  </si>
  <si>
    <t>Zużycie MWh</t>
  </si>
  <si>
    <t>rok</t>
  </si>
  <si>
    <t>Zużycie [MWh]</t>
  </si>
  <si>
    <r>
      <t>Emisja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2]</t>
    </r>
  </si>
  <si>
    <r>
      <t>wskaźnik emisji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/MWh]</t>
    </r>
  </si>
  <si>
    <r>
      <t>Emisja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</si>
  <si>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Rok</t>
  </si>
  <si>
    <t>Prognoza do roku 2020</t>
  </si>
  <si>
    <t>Faktyczne zużycie energii elektrycznej [MWh]</t>
  </si>
  <si>
    <t>Prognozowane zużycie energii elektrycznej [MWh]</t>
  </si>
  <si>
    <t>Zestawienie</t>
  </si>
  <si>
    <t>Energia elektryczna - zużycie i emisja</t>
  </si>
  <si>
    <t>Energia elektryczna - zużycie i emisja - wykresy</t>
  </si>
  <si>
    <t>En. elektryczna wykr.</t>
  </si>
  <si>
    <t>En. elektryczna</t>
  </si>
  <si>
    <t>Wskaźnik [g/km]</t>
  </si>
  <si>
    <t>Dł. Drogi [km]</t>
  </si>
  <si>
    <t xml:space="preserve">Sam. Osobowe </t>
  </si>
  <si>
    <t>Motocykle</t>
  </si>
  <si>
    <t>Lekkie samochody ciężarowe (dostawcze)</t>
  </si>
  <si>
    <t>Samochody ciężarowe</t>
  </si>
  <si>
    <t>bez przycz.</t>
  </si>
  <si>
    <t>z przycz</t>
  </si>
  <si>
    <t xml:space="preserve">Autobusy </t>
  </si>
  <si>
    <t>Ciągniki rolnicze</t>
  </si>
  <si>
    <t>Transport lokalny</t>
  </si>
  <si>
    <t>Tranzyt</t>
  </si>
  <si>
    <t>Ruch tranzytowy - emisja</t>
  </si>
  <si>
    <t>Numer drogi</t>
  </si>
  <si>
    <t>Liczba pojazdów</t>
  </si>
  <si>
    <r>
      <t>Emisja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</si>
  <si>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Średni przebieg</t>
  </si>
  <si>
    <t>Sam. Osobowe</t>
  </si>
  <si>
    <t>Sam. Ciężarowe</t>
  </si>
  <si>
    <t>Autobusy</t>
  </si>
  <si>
    <t>Samochody specjalne do 3,5 t</t>
  </si>
  <si>
    <t>Ciągniki samochodowe</t>
  </si>
  <si>
    <t>Charakterystyka gminy</t>
  </si>
  <si>
    <t>Ruch lokalny - emisja</t>
  </si>
  <si>
    <t>Liczba mieszkańców</t>
  </si>
  <si>
    <t>Liczba nowych mieszkań</t>
  </si>
  <si>
    <r>
      <t>Ogólna powierzchnia mieszkań 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</si>
  <si>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Zarejestrowane podmioty gospodarcze</t>
  </si>
  <si>
    <t>średnioroczny trend zmian</t>
  </si>
  <si>
    <t>Prognoza liczby mieszkańców</t>
  </si>
  <si>
    <t>Nowe mieszkania</t>
  </si>
  <si>
    <r>
      <t>Prognoza ogólnej powierzchni mieszkań 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</si>
  <si>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średnia powierzchnia</t>
  </si>
  <si>
    <t>Prognoza zarejestrowanych podmiotów gospodarczych</t>
  </si>
  <si>
    <t>liczba podmiotów</t>
  </si>
  <si>
    <t>Liczba mieszkań</t>
  </si>
  <si>
    <t>Prognoza liczby mieszkań</t>
  </si>
  <si>
    <t>Horyzont czasowy</t>
  </si>
  <si>
    <t>Mieszkania</t>
  </si>
  <si>
    <t>Mieszkańcy</t>
  </si>
  <si>
    <t>Powierzchnia mieszkań</t>
  </si>
  <si>
    <t>Powierzchnia   mieszkań</t>
  </si>
  <si>
    <t>Chrakterystyka</t>
  </si>
  <si>
    <t>Podstawowe informacje statystyczne dotyczące gminy</t>
  </si>
  <si>
    <t>Emisja w transporcie</t>
  </si>
  <si>
    <t>Gaz</t>
  </si>
  <si>
    <t>Ruch lokalny</t>
  </si>
  <si>
    <t>Transport wykr.</t>
  </si>
  <si>
    <t>%</t>
  </si>
  <si>
    <t>olej opałowy</t>
  </si>
  <si>
    <t>Struktura wykorzystania paliw</t>
  </si>
  <si>
    <t>Zapotrzebowanie na energię cieplną</t>
  </si>
  <si>
    <t>Ogólne zapotrzebowanie na energię w roku 2000 r. [GJ]</t>
  </si>
  <si>
    <t>Ogólne zapotrzebowanie na energię w roku 2020 r. [GJ]</t>
  </si>
  <si>
    <t>zapotrzebowanie na energię [GJ/m2]</t>
  </si>
  <si>
    <r>
      <t>wskaźnik emisji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/GJ]</t>
    </r>
  </si>
  <si>
    <t>Zużycie ciepła [GJ]</t>
  </si>
  <si>
    <t>2020 - Prognoza</t>
  </si>
  <si>
    <t>Potrzeby cieplne zaspokajane z danego rodzaju paliwa [GJ]</t>
  </si>
  <si>
    <t>System oświetlenia ulicznego</t>
  </si>
  <si>
    <t>Moce opraw [W]</t>
  </si>
  <si>
    <t>Ilość opraw</t>
  </si>
  <si>
    <t>Roczny czas świecenia</t>
  </si>
  <si>
    <t>Zużycie energii [MWh]</t>
  </si>
  <si>
    <t>Charakterystyka systemu oświetleniowego</t>
  </si>
  <si>
    <t>W</t>
  </si>
  <si>
    <t>kW</t>
  </si>
  <si>
    <t>Średnia moc oprawy:</t>
  </si>
  <si>
    <t>Łączna moc systemu:</t>
  </si>
  <si>
    <t>Podmiot</t>
  </si>
  <si>
    <t>Zużycie energii elektrycznej [MWh]</t>
  </si>
  <si>
    <t>Źródło ciepła</t>
  </si>
  <si>
    <t>Wskaźniki</t>
  </si>
  <si>
    <t>Energia elek.</t>
  </si>
  <si>
    <t>Węgiel</t>
  </si>
  <si>
    <t>Olej opałowy</t>
  </si>
  <si>
    <t>Ciepło sieciowe</t>
  </si>
  <si>
    <t>Paliwo</t>
  </si>
  <si>
    <t>Źrodło</t>
  </si>
  <si>
    <t>energia elektryczna</t>
  </si>
  <si>
    <t>paliwa transportowe</t>
  </si>
  <si>
    <t>paliwa opałowe</t>
  </si>
  <si>
    <t>W tym:</t>
  </si>
  <si>
    <t xml:space="preserve">Oświetlenie </t>
  </si>
  <si>
    <t>Obiekty użyteczności publicznej</t>
  </si>
  <si>
    <t>n/d</t>
  </si>
  <si>
    <t>rok 2020 - prognoza</t>
  </si>
  <si>
    <t>Emisja roczna</t>
  </si>
  <si>
    <r>
      <t>Emisja roczna [Mg CO</t>
    </r>
    <r>
      <rPr>
        <b/>
        <vertAlign val="subscript"/>
        <sz val="11"/>
        <color rgb="FF000000"/>
        <rFont val="Calibri"/>
        <family val="2"/>
        <charset val="238"/>
      </rPr>
      <t>2</t>
    </r>
    <r>
      <rPr>
        <b/>
        <sz val="11"/>
        <color rgb="FF000000"/>
        <rFont val="Calibri"/>
        <family val="2"/>
        <charset val="238"/>
      </rPr>
      <t>]</t>
    </r>
  </si>
  <si>
    <r>
      <t>Roczna emisja na 1 mieszkańca [Mg CO</t>
    </r>
    <r>
      <rPr>
        <b/>
        <vertAlign val="subscript"/>
        <sz val="11"/>
        <color rgb="FF000000"/>
        <rFont val="Calibri"/>
        <family val="2"/>
        <charset val="238"/>
      </rPr>
      <t>2</t>
    </r>
    <r>
      <rPr>
        <b/>
        <sz val="11"/>
        <color rgb="FF000000"/>
        <rFont val="Calibri"/>
        <family val="2"/>
        <charset val="238"/>
      </rPr>
      <t>]</t>
    </r>
  </si>
  <si>
    <r>
      <t>Dobowa emisja na 1 mieszkańca [kg CO</t>
    </r>
    <r>
      <rPr>
        <b/>
        <vertAlign val="subscript"/>
        <sz val="11"/>
        <color rgb="FF000000"/>
        <rFont val="Calibri"/>
        <family val="2"/>
        <charset val="238"/>
      </rPr>
      <t>2</t>
    </r>
    <r>
      <rPr>
        <b/>
        <sz val="11"/>
        <color rgb="FF000000"/>
        <rFont val="Calibri"/>
        <family val="2"/>
        <charset val="238"/>
      </rPr>
      <t>]</t>
    </r>
  </si>
  <si>
    <t>Bilans</t>
  </si>
  <si>
    <t>Planowana redukcja emisji</t>
  </si>
  <si>
    <t>Samochody osobowe</t>
  </si>
  <si>
    <t>Samochody dostawcze</t>
  </si>
  <si>
    <t>Samochody ciężarowe z naczepą</t>
  </si>
  <si>
    <t>Jednostka</t>
  </si>
  <si>
    <t>Wskaźnik</t>
  </si>
  <si>
    <r>
      <t>Mg CO</t>
    </r>
    <r>
      <rPr>
        <vertAlign val="subscript"/>
        <sz val="11"/>
        <color rgb="FF000000"/>
        <rFont val="Calibri"/>
        <family val="2"/>
        <charset val="238"/>
        <scheme val="minor"/>
      </rPr>
      <t>2</t>
    </r>
    <r>
      <rPr>
        <sz val="11"/>
        <color rgb="FF000000"/>
        <rFont val="Calibri"/>
        <family val="2"/>
        <charset val="238"/>
        <scheme val="minor"/>
      </rPr>
      <t>/GJ</t>
    </r>
  </si>
  <si>
    <r>
      <t>g CO</t>
    </r>
    <r>
      <rPr>
        <vertAlign val="subscript"/>
        <sz val="11"/>
        <color rgb="FF000000"/>
        <rFont val="Calibri"/>
        <family val="2"/>
        <charset val="238"/>
        <scheme val="minor"/>
      </rPr>
      <t>2</t>
    </r>
    <r>
      <rPr>
        <sz val="11"/>
        <color rgb="FF000000"/>
        <rFont val="Calibri"/>
        <family val="2"/>
        <charset val="238"/>
        <scheme val="minor"/>
      </rPr>
      <t>/km</t>
    </r>
  </si>
  <si>
    <t>Załącznik nr 2 - Metodyka - do Regulaminu I konkursu GIS "GAZELA – NISKOEMISYJNY TRANSPORT MIEJSKI"</t>
  </si>
  <si>
    <r>
      <rPr>
        <i/>
        <sz val="11"/>
        <color rgb="FF000000"/>
        <rFont val="Calibri"/>
        <family val="2"/>
        <charset val="238"/>
        <scheme val="minor"/>
      </rPr>
      <t>Wskaźniki emisji CO2 do raportowania w ramach Wspólnotowego Systemu Handlu Uprawnieniami do Emisji za rok 2014</t>
    </r>
    <r>
      <rPr>
        <sz val="11"/>
        <color rgb="FF000000"/>
        <rFont val="Calibri"/>
        <family val="2"/>
        <charset val="238"/>
        <scheme val="minor"/>
      </rPr>
      <t>, Krajowy Ośrodek Bilansowania i Zarządzania Emisjami</t>
    </r>
  </si>
  <si>
    <t xml:space="preserve">Załącznik nr 2 - Metodyka - do Regulaminu I konkursu GIS "SOWA - ENERGOOSZCZĘDNE OŚWIETLENIE ULICZNE"
</t>
  </si>
  <si>
    <t>Zestawienie wskaźników</t>
  </si>
  <si>
    <r>
      <t>Zestawienie wskaźników emisji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 poszczególnych źródeł, wykorzystanych w dokumencie</t>
    </r>
  </si>
  <si>
    <r>
      <t>Zestawienie obiektów publicznych wraz z informacją o generowanej emisji CO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</si>
  <si>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t>Informacja o emisji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generowanej porzez zużycia energii elektrycznej na cele oświetleniowe </t>
    </r>
  </si>
  <si>
    <t>Inwentaryzacja emisji</t>
  </si>
  <si>
    <t>średnioroczna wartość</t>
  </si>
  <si>
    <r>
      <t>Średnia powierzchnia mieszkań  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</si>
  <si>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r>
      <t>Prognoza średniej powierzchni mieszkań  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</si>
  <si>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Dobowa liczba pojazdów w roku 2000</t>
  </si>
  <si>
    <t>Dobowa liczba pojazdów</t>
  </si>
  <si>
    <r>
      <t>Emisja CO2 [Mg CO</t>
    </r>
    <r>
      <rPr>
        <b/>
        <vertAlign val="subscript"/>
        <sz val="11"/>
        <color rgb="FF000000"/>
        <rFont val="Calibri"/>
        <family val="2"/>
        <charset val="238"/>
        <scheme val="minor"/>
      </rPr>
      <t>2</t>
    </r>
    <r>
      <rPr>
        <b/>
        <sz val="11"/>
        <color rgb="FF000000"/>
        <rFont val="Calibri"/>
        <family val="2"/>
        <charset val="238"/>
        <scheme val="minor"/>
      </rPr>
      <t>] w 2000 roku</t>
    </r>
  </si>
  <si>
    <r>
      <t>Emisja CO2 [Mg CO</t>
    </r>
    <r>
      <rPr>
        <b/>
        <vertAlign val="subscript"/>
        <sz val="11"/>
        <color rgb="FF000000"/>
        <rFont val="Calibri"/>
        <family val="2"/>
        <charset val="238"/>
        <scheme val="minor"/>
      </rPr>
      <t>2</t>
    </r>
    <r>
      <rPr>
        <b/>
        <sz val="11"/>
        <color rgb="FF000000"/>
        <rFont val="Calibri"/>
        <family val="2"/>
        <charset val="238"/>
        <scheme val="minor"/>
      </rPr>
      <t>] w 2020 roku - prognoza</t>
    </r>
  </si>
  <si>
    <r>
      <t>Emisja [Mg CO</t>
    </r>
    <r>
      <rPr>
        <b/>
        <vertAlign val="subscript"/>
        <sz val="12"/>
        <rFont val="Calibri"/>
        <family val="2"/>
        <charset val="238"/>
        <scheme val="minor"/>
      </rPr>
      <t>2]</t>
    </r>
  </si>
  <si>
    <r>
      <t>Wykresy obrazujące emisję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generowaną przez spalanie paliw opałowych</t>
    </r>
  </si>
  <si>
    <r>
      <t>Zużycie paliw opałowych oraz emisja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w roku 2000, 2013 i prognoza na rok 2020 </t>
    </r>
  </si>
  <si>
    <r>
      <t>Łączne zestawienie emisji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 podziałem na nośniki energii oraz sektory w roku 2000, 2013 wraz z prognozą na rok 2020 i obliczniem statystycznej emisji na 1 mieszkańca gminy.</t>
    </r>
  </si>
  <si>
    <r>
      <t>Natężenie ruchu oraz Emisja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na drogach tranzytowych przebiegających przez teren gminy w roku 2000,2013 wraz z prognozą na rok 2020</t>
    </r>
  </si>
  <si>
    <r>
      <t>Zużycie energii elektrycznej oraz emisja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w roku 2000 , 2013 wraz z prognozą na rok 2020</t>
    </r>
  </si>
  <si>
    <r>
      <t>Wykresy obrazujące zużycie energii elektrycznej oraz emisję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 roku 2000, 2013 wraz z prognozą na rok 2020</t>
    </r>
  </si>
  <si>
    <r>
      <t>Emisja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generowana przez ruch lokalny na terenie gminy w roku 2000, 2013 wraz z prognozą na rok 2020</t>
    </r>
  </si>
  <si>
    <t>bd</t>
  </si>
  <si>
    <t>bdb</t>
  </si>
  <si>
    <t>Emisja z ruchu lokalnego rok 2013</t>
  </si>
  <si>
    <t>Dobowa liczba pojazdów w roku 2010</t>
  </si>
  <si>
    <t>Dobowa liczba pojazdów w roku 2013</t>
  </si>
  <si>
    <r>
      <t>Emisja CO2 [Mg CO</t>
    </r>
    <r>
      <rPr>
        <b/>
        <vertAlign val="subscript"/>
        <sz val="11"/>
        <color rgb="FF000000"/>
        <rFont val="Calibri"/>
        <family val="2"/>
        <charset val="238"/>
        <scheme val="minor"/>
      </rPr>
      <t>2</t>
    </r>
    <r>
      <rPr>
        <b/>
        <sz val="11"/>
        <color rgb="FF000000"/>
        <rFont val="Calibri"/>
        <family val="2"/>
        <charset val="238"/>
        <scheme val="minor"/>
      </rPr>
      <t>] w 2013 roku</t>
    </r>
  </si>
  <si>
    <t>rok 2000</t>
  </si>
  <si>
    <t>rok 2013</t>
  </si>
  <si>
    <t>Ogólne zapotrzebowanie na energię w roku 2013 r. [GJ]</t>
  </si>
  <si>
    <t>paliwa stałe</t>
  </si>
  <si>
    <t>-</t>
  </si>
  <si>
    <t>2020 - prognoza</t>
  </si>
  <si>
    <t>2020- prognoza, scenariusz niskoemisyjny</t>
  </si>
  <si>
    <t>2020 - prognoza, scenariusz niskoemisyjny</t>
  </si>
  <si>
    <t>Bilans zestawienie i wykresy</t>
  </si>
  <si>
    <t>paliwa opałowe - zużycie i emisja - wykresy</t>
  </si>
  <si>
    <t>paliwa opałowe - zużycie i emisja</t>
  </si>
  <si>
    <t>Suma</t>
  </si>
  <si>
    <t>drewno</t>
  </si>
  <si>
    <t>Lp.</t>
  </si>
  <si>
    <t>ogrzewanie elektryczne</t>
  </si>
  <si>
    <t>Ośrodek Zdrowia w Skibniewie, ul. Sokołowska 18 A, 08-300 Sokołów Podlaksi</t>
  </si>
  <si>
    <t>ciepło systemowe</t>
  </si>
  <si>
    <t>Świetlica Wiejska w Przywózkach, ul. Ks. Brzóski 64, 08-300 Sokołów Podlski</t>
  </si>
  <si>
    <t>Świetlica Wiejska w Pogorzeli, Pogorzel 08-300 Sokołów Podlski</t>
  </si>
  <si>
    <t>Świetlica Wiejska Ząbków-Kolonia 6, 08-300 Sokołów Podlaski</t>
  </si>
  <si>
    <t>Świetlica Wiejska w m. Wyrąb, 08-300 Sokołów Podlaski</t>
  </si>
  <si>
    <t>Świetlica Wiejska, Wólka Miedzyńska 33, 08-300 Sokołów Podlaski</t>
  </si>
  <si>
    <t>Wiejski Dom Kultury w Nowej Wsi, ul. Wolności 37, 08-300 Sokołów Podlaski</t>
  </si>
  <si>
    <t>Świetlica Wiejska w Krasowie, Krasów 08-300 Sokołów Podlaski</t>
  </si>
  <si>
    <t>Świetlica Wiejska w m. Krasnodęby-Kasmy, 08-300 Sokołów Podlaski</t>
  </si>
  <si>
    <t>Świetlica Wiejska w m. Dziegietnia-Kolonia, 08-300 Sokołów Podlaski</t>
  </si>
  <si>
    <t>Świetlica Wiejska, Czerwonka, 08-300 Sokołów Podlaski</t>
  </si>
  <si>
    <t>Świetlica Wiejksa w Chmielewie, 08-300 Sokołów Podlaski</t>
  </si>
  <si>
    <t>Świetlica Wiejska w Brzozowie, 08-300 Sokołów Podlaski</t>
  </si>
  <si>
    <t>Świetlica Wiejska w Kostkach, ul. Klonowa 4, 08-300 Sokołów Podlaski</t>
  </si>
  <si>
    <t>Zespoł Oświatowy im. Róży Król w Nowej Wsi - Szkoła</t>
  </si>
  <si>
    <t>Zespół Oświatowy im Róży Król w Nowej Wsi - Przedszkole</t>
  </si>
  <si>
    <t>kocioł na węgiel</t>
  </si>
  <si>
    <t>Zespół Oświatowy im Marianny Frąckowiak w Skibniewie</t>
  </si>
  <si>
    <t>kotłownia olejowa</t>
  </si>
  <si>
    <t>Emisja CO2 [Mg CO2] w 2000 roku</t>
  </si>
  <si>
    <t>Emisja CO2 [Mg CO2] w 2013 roku</t>
  </si>
  <si>
    <t>Emisja CO2 [Mg CO2] w 2020 roku</t>
  </si>
  <si>
    <t>gaz płynny</t>
  </si>
  <si>
    <r>
      <t>Powierzchnia użytkowa [m</t>
    </r>
    <r>
      <rPr>
        <b/>
        <vertAlign val="superscript"/>
        <sz val="11"/>
        <color rgb="FF000000"/>
        <rFont val="Calibri"/>
        <family val="2"/>
        <charset val="238"/>
      </rPr>
      <t>2</t>
    </r>
    <r>
      <rPr>
        <b/>
        <sz val="11"/>
        <color rgb="FF000000"/>
        <rFont val="Calibri"/>
        <family val="2"/>
        <charset val="238"/>
      </rPr>
      <t>]</t>
    </r>
  </si>
  <si>
    <r>
      <t>wskaźnik emisji [Mg CO</t>
    </r>
    <r>
      <rPr>
        <b/>
        <vertAlign val="subscript"/>
        <sz val="11"/>
        <color rgb="FF000000"/>
        <rFont val="Calibri"/>
        <family val="2"/>
        <charset val="238"/>
      </rPr>
      <t>2</t>
    </r>
    <r>
      <rPr>
        <b/>
        <sz val="11"/>
        <color rgb="FF000000"/>
        <rFont val="Calibri"/>
        <family val="2"/>
        <charset val="238"/>
      </rPr>
      <t>/MWh]</t>
    </r>
  </si>
  <si>
    <r>
      <t>wskaźnik emisji [Mg CO</t>
    </r>
    <r>
      <rPr>
        <b/>
        <vertAlign val="subscript"/>
        <sz val="11"/>
        <color rgb="FF000000"/>
        <rFont val="Calibri"/>
        <family val="2"/>
        <charset val="238"/>
      </rPr>
      <t>2</t>
    </r>
    <r>
      <rPr>
        <b/>
        <sz val="11"/>
        <color rgb="FF000000"/>
        <rFont val="Calibri"/>
        <family val="2"/>
        <charset val="238"/>
      </rPr>
      <t>/GJ]</t>
    </r>
  </si>
  <si>
    <r>
      <t>Emisja CO</t>
    </r>
    <r>
      <rPr>
        <b/>
        <vertAlign val="subscript"/>
        <sz val="11"/>
        <color rgb="FF000000"/>
        <rFont val="Calibri"/>
        <family val="2"/>
        <charset val="238"/>
      </rPr>
      <t>2</t>
    </r>
    <r>
      <rPr>
        <b/>
        <sz val="11"/>
        <color rgb="FF000000"/>
        <rFont val="Calibri"/>
        <family val="2"/>
        <charset val="238"/>
      </rPr>
      <t xml:space="preserve"> z energii elektrycznej [Mg CO</t>
    </r>
    <r>
      <rPr>
        <b/>
        <vertAlign val="subscript"/>
        <sz val="11"/>
        <color rgb="FF000000"/>
        <rFont val="Calibri"/>
        <family val="2"/>
        <charset val="238"/>
      </rPr>
      <t>2</t>
    </r>
    <r>
      <rPr>
        <b/>
        <sz val="11"/>
        <color rgb="FF000000"/>
        <rFont val="Calibri"/>
        <family val="2"/>
        <charset val="238"/>
      </rPr>
      <t>]</t>
    </r>
  </si>
  <si>
    <r>
      <t>Emisja CO</t>
    </r>
    <r>
      <rPr>
        <b/>
        <vertAlign val="subscript"/>
        <sz val="11"/>
        <color rgb="FF000000"/>
        <rFont val="Calibri"/>
        <family val="2"/>
        <charset val="238"/>
      </rPr>
      <t>2</t>
    </r>
    <r>
      <rPr>
        <b/>
        <sz val="11"/>
        <color rgb="FF000000"/>
        <rFont val="Calibri"/>
        <family val="2"/>
        <charset val="238"/>
      </rPr>
      <t xml:space="preserve"> ze zużycia energii na potrzeby cieplne [Mg CO</t>
    </r>
    <r>
      <rPr>
        <b/>
        <vertAlign val="subscript"/>
        <sz val="11"/>
        <color rgb="FF000000"/>
        <rFont val="Calibri"/>
        <family val="2"/>
        <charset val="238"/>
      </rPr>
      <t>2</t>
    </r>
    <r>
      <rPr>
        <b/>
        <sz val="11"/>
        <color rgb="FF000000"/>
        <rFont val="Calibri"/>
        <family val="2"/>
        <charset val="238"/>
      </rPr>
      <t>]</t>
    </r>
  </si>
  <si>
    <t>Świetlica Wiejska w Karolewie, Karolew 17, 08-300 Sokołów Podlaski</t>
  </si>
  <si>
    <t>Emisja z ruchu lokalnego rok 2000</t>
  </si>
  <si>
    <t>kotłownia gazowa/olejowa</t>
  </si>
  <si>
    <t>kotłownia olejowa/węgiel</t>
  </si>
  <si>
    <t>Arkusz kalkulacyjny inwentaryzacji emisji dwutlenku węgla na terenie gminy Sokołów Podlaski, wykonany na potrzeby Planu Gospodarki Niskoemisyjnej</t>
  </si>
  <si>
    <t xml:space="preserve">Dobowa liczba pojazdów w roku 2020 </t>
  </si>
  <si>
    <t>Dobowa liczba pojazdów w roku 2020</t>
  </si>
  <si>
    <t>Emisja z ruchu lokalnego rok 2020 - prognoza</t>
  </si>
  <si>
    <t>wskaźnik SO2 [g/szt*km]</t>
  </si>
  <si>
    <t>SO2 [Mg]</t>
  </si>
  <si>
    <t>wskaźnik Nox [g/szt*km]</t>
  </si>
  <si>
    <t>NOx [Mg]</t>
  </si>
  <si>
    <t>wskaźnik CO [g/szt*km]</t>
  </si>
  <si>
    <t>CO [Mg]</t>
  </si>
  <si>
    <t>wskaźnik PM10 [g/szt*km]</t>
  </si>
  <si>
    <t>PM10 [Mg]</t>
  </si>
  <si>
    <t>wskaźnik PM2,5 [g/szt*km]</t>
  </si>
  <si>
    <t>PM2,5 [Mg]</t>
  </si>
  <si>
    <t>Niska emisja - inwentaryzacja</t>
  </si>
  <si>
    <t>ROK 2000</t>
  </si>
  <si>
    <t>Zużycie [GJ]</t>
  </si>
  <si>
    <t>Emisja NOx [kg]</t>
  </si>
  <si>
    <t>Emisja SOx [kg]</t>
  </si>
  <si>
    <t>Emisja CO [kg]</t>
  </si>
  <si>
    <t>Emisja PM10 [kg]</t>
  </si>
  <si>
    <t>Emisja PM2,5 [kg]</t>
  </si>
  <si>
    <t>Emisja B(a)P [g]</t>
  </si>
  <si>
    <t>gaz</t>
  </si>
  <si>
    <t>węgiel, ekogroszek</t>
  </si>
  <si>
    <t>ROK 2013</t>
  </si>
  <si>
    <t>Wskaźniki niskiej emisji</t>
  </si>
  <si>
    <t>węgiel [kg/GJ]</t>
  </si>
  <si>
    <t>paliwa gazowe [kg/GJ]</t>
  </si>
  <si>
    <t>Olej opałowy [kg/GJ]</t>
  </si>
  <si>
    <t>Biomasa [kg/GJ]</t>
  </si>
  <si>
    <t>NOx</t>
  </si>
  <si>
    <t>SOx</t>
  </si>
  <si>
    <t>CO</t>
  </si>
  <si>
    <t>PM10</t>
  </si>
  <si>
    <t>PM2,5</t>
  </si>
  <si>
    <t>ROK 2020</t>
  </si>
  <si>
    <t>Benzo(a)piren</t>
  </si>
  <si>
    <t>Redukcja emisji</t>
  </si>
  <si>
    <t>Potrzeby cieplne zaspokajane z danego rodzaju paliwa [GJ]-2000</t>
  </si>
  <si>
    <t>Potrzeby cieplne zaspokajane z danego rodzaju paliwa [GJ]-2013</t>
  </si>
  <si>
    <t>Potrzeby cieplne zaspokajane z danego rodzaju paliwa [GJ]-2020</t>
  </si>
  <si>
    <t>węgiel i ekogroszek</t>
  </si>
  <si>
    <t>PM10 [kg]</t>
  </si>
  <si>
    <t>PM2,5 [kg]</t>
  </si>
  <si>
    <t>Świetlica Wiejska w Justynowie, 08-300 Sokołów Podlaski</t>
  </si>
  <si>
    <t>Ośrodek Zdrowia, Czerwonka, 08-300 Sokołów Podlaski</t>
  </si>
  <si>
    <t>Świetlica Wiejska w Walerowie, 08-300 Sokołów Podlaski</t>
  </si>
  <si>
    <r>
      <t>wskaźnik emisji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/MWh]</t>
    </r>
  </si>
  <si>
    <t>Emisja szkodliwych gazów i pyłów z transportu drogowego na terenie Gminy Sokołów Podlaski</t>
  </si>
  <si>
    <t>Wskaźnik emisji [kg CO2/km]</t>
  </si>
  <si>
    <t>Potrzeby cieplne zaspokajane z danego rodzaju paliwa [MWh]</t>
  </si>
  <si>
    <t>Planowane rezultaty</t>
  </si>
  <si>
    <r>
      <t>Całkowita emisja CO</t>
    </r>
    <r>
      <rPr>
        <b/>
        <vertAlign val="subscript"/>
        <sz val="9"/>
        <color rgb="FF000000"/>
        <rFont val="Trebuchet MS"/>
        <family val="2"/>
        <charset val="238"/>
      </rPr>
      <t>2</t>
    </r>
  </si>
  <si>
    <t>Planowana redukcja emisji [Mg/rok]</t>
  </si>
  <si>
    <t>Planowana redukcja emisji [%]</t>
  </si>
  <si>
    <t>Roczna redukcja emisji [Mg]</t>
  </si>
  <si>
    <t>Całkowite zużycie energii [MWh]</t>
  </si>
  <si>
    <t>Planowana redukcja zużycia energii [MWh]</t>
  </si>
  <si>
    <t>Planowana redukcja zużycia energii [%]</t>
  </si>
  <si>
    <t>Roczna redukcja zużycia energii [MWh/rok]</t>
  </si>
  <si>
    <t>Udział energii z OZE [MWh]</t>
  </si>
  <si>
    <t>Udział energii z OZE [%]</t>
  </si>
  <si>
    <t>Roczna produkcja energii z OZE [MWh/rok]</t>
  </si>
  <si>
    <t>Bilans emisji wg rodzajów paliw [Mg CO2]</t>
  </si>
  <si>
    <t>Bilans emisji wg rodzajów sektorów [Mg CO2]</t>
  </si>
  <si>
    <t>gospodarstwa domowe</t>
  </si>
  <si>
    <t>transport</t>
  </si>
  <si>
    <t>Zużycie energii finalnej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</si>
</sst>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 &quot;#,##0.00&quot;    &quot;;&quot;-&quot;#,##0.00&quot;    &quot;;&quot; -&quot;00&quot;    &quot;;&quot; &quot;@&quot; &quot;"/>
    <numFmt numFmtId="166" formatCode="&quot; &quot;#,##0.000&quot;    &quot;;&quot;-&quot;#,##0.000&quot;    &quot;;&quot; -&quot;00&quot;    &quot;;&quot; &quot;@&quot; &quot;"/>
    <numFmt numFmtId="167" formatCode="&quot; &quot;#,##0&quot;    &quot;;&quot;-&quot;#,##0&quot;    &quot;;&quot; -&quot;00&quot;    &quot;;&quot; &quot;@&quot; &quot;"/>
    <numFmt numFmtId="168" formatCode="0.000"/>
    <numFmt numFmtId="169" formatCode="0.000%"/>
    <numFmt numFmtId="170" formatCode="#,##0.0"/>
    <numFmt numFmtId="171" formatCode="_-* #,##0.000\ _z_ł_-;\-* #,##0.000\ _z_ł_-;_-* &quot;-&quot;??\ _z_ł_-;_-@_-"/>
    <numFmt numFmtId="172" formatCode="#,##0.000"/>
    <numFmt numFmtId="173" formatCode="0.0000"/>
    <numFmt numFmtId="174" formatCode="0.00000"/>
    <numFmt numFmtId="175" formatCode="0.00000000000"/>
  </numFmts>
  <fonts count="6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indexed="9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sz val="11"/>
      <color rgb="FF000000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sz val="14"/>
      <color rgb="FFFFFFFF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bscript"/>
      <sz val="12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bscript"/>
      <sz val="11"/>
      <color rgb="FF000000"/>
      <name val="Calibri"/>
      <family val="2"/>
      <charset val="238"/>
    </font>
    <font>
      <vertAlign val="subscript"/>
      <sz val="11"/>
      <color rgb="FF000000"/>
      <name val="Calibri"/>
      <family val="2"/>
      <charset val="238"/>
      <scheme val="minor"/>
    </font>
    <font>
      <b/>
      <vertAlign val="subscript"/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vertAlign val="superscript"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rgb="FFFFFFFF"/>
      <name val="Trebuchet MS"/>
      <family val="2"/>
      <charset val="238"/>
    </font>
    <font>
      <sz val="10"/>
      <color rgb="FF000000"/>
      <name val="Trebuchet MS"/>
      <family val="2"/>
      <charset val="238"/>
    </font>
    <font>
      <sz val="10"/>
      <color theme="0"/>
      <name val="Trebuchet MS"/>
      <family val="2"/>
      <charset val="238"/>
    </font>
    <font>
      <b/>
      <sz val="9"/>
      <color rgb="FF000000"/>
      <name val="Trebuchet MS"/>
      <family val="2"/>
      <charset val="238"/>
    </font>
    <font>
      <b/>
      <vertAlign val="subscript"/>
      <sz val="9"/>
      <color rgb="FF000000"/>
      <name val="Trebuchet MS"/>
      <family val="2"/>
      <charset val="238"/>
    </font>
    <font>
      <b/>
      <sz val="10"/>
      <color rgb="FF000000"/>
      <name val="Trebuchet MS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23"/>
      </patternFill>
    </fill>
    <fill>
      <patternFill patternType="solid">
        <fgColor theme="0"/>
        <bgColor indexed="26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79998168889431442"/>
        <bgColor indexed="4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theme="0" tint="-0.249977111117893"/>
        <bgColor rgb="FFA6A6A6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0" tint="-0.34998626667073579"/>
        <bgColor rgb="FFA6A6A6"/>
      </patternFill>
    </fill>
    <fill>
      <patternFill patternType="solid">
        <fgColor theme="0" tint="-0.34998626667073579"/>
        <bgColor rgb="FF808080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A6A6A6"/>
      </patternFill>
    </fill>
    <fill>
      <patternFill patternType="solid">
        <fgColor theme="0"/>
        <bgColor rgb="FFD9D9D9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FFFF"/>
        <bgColor indexed="64"/>
      </patternFill>
    </fill>
  </fills>
  <borders count="18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FFFFFF"/>
      </left>
      <right style="medium">
        <color rgb="FF000000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 style="thin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FFFFFF"/>
      </bottom>
      <diagonal/>
    </border>
    <border>
      <left style="thin">
        <color rgb="FFFFFFFF"/>
      </left>
      <right style="medium">
        <color rgb="FF000000"/>
      </right>
      <top style="medium">
        <color indexed="64"/>
      </top>
      <bottom style="thin">
        <color rgb="FFFFFFFF"/>
      </bottom>
      <diagonal/>
    </border>
    <border>
      <left style="thin">
        <color rgb="FFFFFFFF"/>
      </left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indexed="64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indexed="64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FFFFFF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theme="0"/>
      </bottom>
      <diagonal/>
    </border>
    <border>
      <left style="medium">
        <color rgb="FFFFFFFF"/>
      </left>
      <right style="thin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/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 style="medium">
        <color rgb="FFFFFFFF"/>
      </top>
      <bottom style="medium">
        <color theme="0"/>
      </bottom>
      <diagonal/>
    </border>
    <border>
      <left style="medium">
        <color rgb="FFFFFFFF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2" fillId="0" borderId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6" fillId="0" borderId="0"/>
    <xf numFmtId="0" fontId="7" fillId="0" borderId="0"/>
    <xf numFmtId="0" fontId="8" fillId="0" borderId="0"/>
    <xf numFmtId="0" fontId="8" fillId="0" borderId="0"/>
    <xf numFmtId="0" fontId="8" fillId="0" borderId="0"/>
    <xf numFmtId="9" fontId="16" fillId="0" borderId="0" applyFont="0" applyFill="0" applyBorder="0" applyAlignment="0" applyProtection="0"/>
    <xf numFmtId="0" fontId="17" fillId="0" borderId="0"/>
    <xf numFmtId="44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71">
    <xf numFmtId="0" fontId="0" fillId="0" borderId="0" xfId="0"/>
    <xf numFmtId="0" fontId="11" fillId="5" borderId="3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13" fillId="6" borderId="6" xfId="1" applyNumberFormat="1" applyFont="1" applyFill="1" applyBorder="1" applyAlignment="1">
      <alignment horizontal="left" vertical="center" wrapText="1"/>
    </xf>
    <xf numFmtId="0" fontId="8" fillId="8" borderId="10" xfId="0" applyFont="1" applyFill="1" applyBorder="1" applyAlignment="1">
      <alignment vertical="center"/>
    </xf>
    <xf numFmtId="0" fontId="8" fillId="8" borderId="12" xfId="0" applyFont="1" applyFill="1" applyBorder="1" applyAlignment="1">
      <alignment vertical="center"/>
    </xf>
    <xf numFmtId="0" fontId="8" fillId="8" borderId="14" xfId="0" applyFont="1" applyFill="1" applyBorder="1" applyAlignment="1">
      <alignment vertical="center"/>
    </xf>
    <xf numFmtId="0" fontId="8" fillId="8" borderId="16" xfId="0" applyFont="1" applyFill="1" applyBorder="1" applyAlignment="1">
      <alignment vertical="center"/>
    </xf>
    <xf numFmtId="0" fontId="14" fillId="10" borderId="23" xfId="0" applyFont="1" applyFill="1" applyBorder="1" applyAlignment="1">
      <alignment vertical="center" wrapText="1"/>
    </xf>
    <xf numFmtId="0" fontId="14" fillId="10" borderId="24" xfId="0" applyFont="1" applyFill="1" applyBorder="1" applyAlignment="1">
      <alignment vertical="center" wrapText="1"/>
    </xf>
    <xf numFmtId="0" fontId="14" fillId="10" borderId="25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4" fillId="7" borderId="7" xfId="0" applyFont="1" applyFill="1" applyBorder="1" applyAlignment="1">
      <alignment vertical="center"/>
    </xf>
    <xf numFmtId="0" fontId="14" fillId="7" borderId="8" xfId="0" applyFont="1" applyFill="1" applyBorder="1" applyAlignment="1">
      <alignment vertical="center"/>
    </xf>
    <xf numFmtId="0" fontId="8" fillId="8" borderId="11" xfId="0" applyFont="1" applyFill="1" applyBorder="1" applyAlignment="1">
      <alignment vertical="center" wrapText="1"/>
    </xf>
    <xf numFmtId="0" fontId="8" fillId="8" borderId="13" xfId="0" applyFont="1" applyFill="1" applyBorder="1" applyAlignment="1">
      <alignment vertical="center" wrapText="1"/>
    </xf>
    <xf numFmtId="0" fontId="18" fillId="2" borderId="0" xfId="0" applyFont="1" applyFill="1" applyAlignment="1">
      <alignment vertical="center"/>
    </xf>
    <xf numFmtId="0" fontId="19" fillId="9" borderId="18" xfId="0" applyFont="1" applyFill="1" applyBorder="1" applyAlignment="1">
      <alignment vertical="center"/>
    </xf>
    <xf numFmtId="0" fontId="18" fillId="9" borderId="19" xfId="0" applyFont="1" applyFill="1" applyBorder="1" applyAlignment="1">
      <alignment vertical="center"/>
    </xf>
    <xf numFmtId="0" fontId="18" fillId="9" borderId="2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43" fontId="8" fillId="2" borderId="0" xfId="0" applyNumberFormat="1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43" fontId="8" fillId="2" borderId="0" xfId="0" applyNumberFormat="1" applyFont="1" applyFill="1" applyBorder="1" applyAlignment="1">
      <alignment vertical="center"/>
    </xf>
    <xf numFmtId="2" fontId="8" fillId="8" borderId="33" xfId="13" applyNumberFormat="1" applyFont="1" applyFill="1" applyBorder="1" applyAlignment="1">
      <alignment horizontal="center" vertical="center"/>
    </xf>
    <xf numFmtId="2" fontId="8" fillId="8" borderId="34" xfId="13" applyNumberFormat="1" applyFont="1" applyFill="1" applyBorder="1" applyAlignment="1">
      <alignment horizontal="center" vertical="center"/>
    </xf>
    <xf numFmtId="2" fontId="8" fillId="2" borderId="33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4" fillId="10" borderId="24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 wrapText="1"/>
    </xf>
    <xf numFmtId="2" fontId="8" fillId="2" borderId="38" xfId="0" applyNumberFormat="1" applyFont="1" applyFill="1" applyBorder="1" applyAlignment="1">
      <alignment horizontal="center"/>
    </xf>
    <xf numFmtId="2" fontId="8" fillId="8" borderId="38" xfId="13" applyNumberFormat="1" applyFont="1" applyFill="1" applyBorder="1" applyAlignment="1">
      <alignment horizontal="center" vertical="center"/>
    </xf>
    <xf numFmtId="2" fontId="8" fillId="8" borderId="39" xfId="13" applyNumberFormat="1" applyFont="1" applyFill="1" applyBorder="1" applyAlignment="1">
      <alignment horizontal="center" vertical="center"/>
    </xf>
    <xf numFmtId="0" fontId="14" fillId="10" borderId="23" xfId="0" applyFont="1" applyFill="1" applyBorder="1" applyAlignment="1">
      <alignment horizontal="center" vertical="center"/>
    </xf>
    <xf numFmtId="2" fontId="8" fillId="8" borderId="38" xfId="0" applyNumberFormat="1" applyFont="1" applyFill="1" applyBorder="1" applyAlignment="1">
      <alignment horizontal="center"/>
    </xf>
    <xf numFmtId="2" fontId="8" fillId="8" borderId="33" xfId="0" applyNumberFormat="1" applyFont="1" applyFill="1" applyBorder="1" applyAlignment="1">
      <alignment horizontal="center"/>
    </xf>
    <xf numFmtId="2" fontId="14" fillId="8" borderId="36" xfId="0" applyNumberFormat="1" applyFont="1" applyFill="1" applyBorder="1" applyAlignment="1">
      <alignment horizontal="center"/>
    </xf>
    <xf numFmtId="0" fontId="14" fillId="10" borderId="23" xfId="0" applyFont="1" applyFill="1" applyBorder="1" applyAlignment="1">
      <alignment horizontal="center" vertical="center" wrapText="1"/>
    </xf>
    <xf numFmtId="2" fontId="8" fillId="11" borderId="38" xfId="0" applyNumberFormat="1" applyFont="1" applyFill="1" applyBorder="1" applyAlignment="1">
      <alignment horizontal="center" vertical="center"/>
    </xf>
    <xf numFmtId="2" fontId="8" fillId="11" borderId="39" xfId="0" applyNumberFormat="1" applyFont="1" applyFill="1" applyBorder="1" applyAlignment="1">
      <alignment horizontal="center" vertical="center"/>
    </xf>
    <xf numFmtId="2" fontId="8" fillId="11" borderId="33" xfId="0" applyNumberFormat="1" applyFont="1" applyFill="1" applyBorder="1" applyAlignment="1">
      <alignment horizontal="center" vertical="center"/>
    </xf>
    <xf numFmtId="2" fontId="8" fillId="11" borderId="34" xfId="0" applyNumberFormat="1" applyFont="1" applyFill="1" applyBorder="1" applyAlignment="1">
      <alignment horizontal="center" vertical="center"/>
    </xf>
    <xf numFmtId="2" fontId="8" fillId="11" borderId="36" xfId="0" applyNumberFormat="1" applyFont="1" applyFill="1" applyBorder="1" applyAlignment="1">
      <alignment horizontal="center" vertical="center"/>
    </xf>
    <xf numFmtId="2" fontId="8" fillId="11" borderId="37" xfId="0" applyNumberFormat="1" applyFont="1" applyFill="1" applyBorder="1" applyAlignment="1">
      <alignment horizontal="center" vertical="center"/>
    </xf>
    <xf numFmtId="1" fontId="8" fillId="11" borderId="40" xfId="0" applyNumberFormat="1" applyFont="1" applyFill="1" applyBorder="1" applyAlignment="1">
      <alignment horizontal="center" vertical="center"/>
    </xf>
    <xf numFmtId="1" fontId="8" fillId="11" borderId="32" xfId="0" applyNumberFormat="1" applyFont="1" applyFill="1" applyBorder="1" applyAlignment="1">
      <alignment horizontal="center" vertical="center"/>
    </xf>
    <xf numFmtId="1" fontId="8" fillId="11" borderId="35" xfId="0" applyNumberFormat="1" applyFont="1" applyFill="1" applyBorder="1" applyAlignment="1">
      <alignment horizontal="center" vertical="center"/>
    </xf>
    <xf numFmtId="1" fontId="14" fillId="8" borderId="40" xfId="0" applyNumberFormat="1" applyFont="1" applyFill="1" applyBorder="1" applyAlignment="1">
      <alignment horizontal="center" vertical="center"/>
    </xf>
    <xf numFmtId="1" fontId="14" fillId="8" borderId="32" xfId="0" applyNumberFormat="1" applyFont="1" applyFill="1" applyBorder="1" applyAlignment="1">
      <alignment horizontal="center" vertical="center"/>
    </xf>
    <xf numFmtId="1" fontId="14" fillId="8" borderId="35" xfId="0" applyNumberFormat="1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25" fillId="12" borderId="0" xfId="14" applyFont="1" applyFill="1"/>
    <xf numFmtId="0" fontId="26" fillId="15" borderId="41" xfId="14" applyFont="1" applyFill="1" applyBorder="1"/>
    <xf numFmtId="0" fontId="27" fillId="15" borderId="42" xfId="14" applyFont="1" applyFill="1" applyBorder="1"/>
    <xf numFmtId="0" fontId="28" fillId="12" borderId="0" xfId="14" applyFont="1" applyFill="1"/>
    <xf numFmtId="165" fontId="25" fillId="12" borderId="0" xfId="14" applyNumberFormat="1" applyFont="1" applyFill="1" applyAlignment="1">
      <alignment horizontal="right"/>
    </xf>
    <xf numFmtId="0" fontId="29" fillId="12" borderId="0" xfId="14" applyFont="1" applyFill="1" applyAlignment="1">
      <alignment horizontal="right"/>
    </xf>
    <xf numFmtId="165" fontId="25" fillId="12" borderId="30" xfId="14" applyNumberFormat="1" applyFont="1" applyFill="1" applyBorder="1" applyAlignment="1">
      <alignment horizontal="right"/>
    </xf>
    <xf numFmtId="165" fontId="25" fillId="12" borderId="33" xfId="14" applyNumberFormat="1" applyFont="1" applyFill="1" applyBorder="1" applyAlignment="1">
      <alignment horizontal="right"/>
    </xf>
    <xf numFmtId="165" fontId="25" fillId="12" borderId="33" xfId="14" applyNumberFormat="1" applyFont="1" applyFill="1" applyBorder="1" applyAlignment="1">
      <alignment vertical="center"/>
    </xf>
    <xf numFmtId="165" fontId="25" fillId="12" borderId="36" xfId="14" applyNumberFormat="1" applyFont="1" applyFill="1" applyBorder="1" applyAlignment="1">
      <alignment horizontal="right"/>
    </xf>
    <xf numFmtId="165" fontId="31" fillId="17" borderId="33" xfId="14" applyNumberFormat="1" applyFont="1" applyFill="1" applyBorder="1" applyAlignment="1">
      <alignment horizontal="right" vertical="center"/>
    </xf>
    <xf numFmtId="165" fontId="25" fillId="14" borderId="30" xfId="14" applyNumberFormat="1" applyFont="1" applyFill="1" applyBorder="1" applyAlignment="1">
      <alignment horizontal="right"/>
    </xf>
    <xf numFmtId="165" fontId="25" fillId="14" borderId="33" xfId="14" applyNumberFormat="1" applyFont="1" applyFill="1" applyBorder="1" applyAlignment="1">
      <alignment horizontal="right"/>
    </xf>
    <xf numFmtId="165" fontId="25" fillId="14" borderId="33" xfId="14" applyNumberFormat="1" applyFont="1" applyFill="1" applyBorder="1" applyAlignment="1">
      <alignment vertical="center"/>
    </xf>
    <xf numFmtId="165" fontId="25" fillId="14" borderId="36" xfId="14" applyNumberFormat="1" applyFont="1" applyFill="1" applyBorder="1" applyAlignment="1">
      <alignment horizontal="right"/>
    </xf>
    <xf numFmtId="2" fontId="25" fillId="12" borderId="0" xfId="14" applyNumberFormat="1" applyFont="1" applyFill="1" applyAlignment="1">
      <alignment horizontal="center" vertical="center"/>
    </xf>
    <xf numFmtId="0" fontId="31" fillId="17" borderId="12" xfId="14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8" fillId="8" borderId="62" xfId="0" applyFont="1" applyFill="1" applyBorder="1" applyAlignment="1">
      <alignment horizontal="center" vertical="center"/>
    </xf>
    <xf numFmtId="0" fontId="8" fillId="8" borderId="65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 wrapText="1"/>
    </xf>
    <xf numFmtId="0" fontId="8" fillId="7" borderId="59" xfId="0" applyFont="1" applyFill="1" applyBorder="1"/>
    <xf numFmtId="0" fontId="8" fillId="7" borderId="8" xfId="0" applyFont="1" applyFill="1" applyBorder="1"/>
    <xf numFmtId="3" fontId="22" fillId="10" borderId="29" xfId="13" applyNumberFormat="1" applyFont="1" applyFill="1" applyBorder="1" applyAlignment="1">
      <alignment horizontal="center" vertical="center"/>
    </xf>
    <xf numFmtId="1" fontId="22" fillId="10" borderId="30" xfId="13" applyNumberFormat="1" applyFont="1" applyFill="1" applyBorder="1" applyAlignment="1">
      <alignment horizontal="center" vertical="center" wrapText="1"/>
    </xf>
    <xf numFmtId="1" fontId="22" fillId="10" borderId="31" xfId="13" applyNumberFormat="1" applyFont="1" applyFill="1" applyBorder="1" applyAlignment="1">
      <alignment horizontal="center" vertical="center" wrapText="1"/>
    </xf>
    <xf numFmtId="3" fontId="22" fillId="10" borderId="63" xfId="13" applyNumberFormat="1" applyFont="1" applyFill="1" applyBorder="1" applyAlignment="1">
      <alignment horizontal="center" vertical="center" wrapText="1"/>
    </xf>
    <xf numFmtId="3" fontId="23" fillId="2" borderId="64" xfId="13" applyNumberFormat="1" applyFont="1" applyFill="1" applyBorder="1" applyAlignment="1">
      <alignment horizontal="center" vertical="center" wrapText="1"/>
    </xf>
    <xf numFmtId="3" fontId="23" fillId="2" borderId="66" xfId="13" applyNumberFormat="1" applyFont="1" applyFill="1" applyBorder="1" applyAlignment="1">
      <alignment horizontal="center" vertical="center" wrapText="1"/>
    </xf>
    <xf numFmtId="3" fontId="22" fillId="10" borderId="40" xfId="13" applyNumberFormat="1" applyFont="1" applyFill="1" applyBorder="1" applyAlignment="1">
      <alignment horizontal="center" vertical="center"/>
    </xf>
    <xf numFmtId="1" fontId="22" fillId="10" borderId="38" xfId="13" applyNumberFormat="1" applyFont="1" applyFill="1" applyBorder="1" applyAlignment="1">
      <alignment horizontal="center" vertical="center" wrapText="1"/>
    </xf>
    <xf numFmtId="0" fontId="14" fillId="18" borderId="18" xfId="0" applyFont="1" applyFill="1" applyBorder="1" applyAlignment="1">
      <alignment vertical="center"/>
    </xf>
    <xf numFmtId="0" fontId="8" fillId="18" borderId="19" xfId="0" applyFont="1" applyFill="1" applyBorder="1" applyAlignment="1">
      <alignment vertical="center"/>
    </xf>
    <xf numFmtId="0" fontId="8" fillId="18" borderId="20" xfId="0" applyFont="1" applyFill="1" applyBorder="1" applyAlignment="1">
      <alignment vertical="center"/>
    </xf>
    <xf numFmtId="0" fontId="14" fillId="18" borderId="8" xfId="0" applyFont="1" applyFill="1" applyBorder="1" applyAlignment="1">
      <alignment vertical="center"/>
    </xf>
    <xf numFmtId="0" fontId="8" fillId="18" borderId="9" xfId="0" applyFont="1" applyFill="1" applyBorder="1" applyAlignment="1">
      <alignment vertical="center"/>
    </xf>
    <xf numFmtId="0" fontId="14" fillId="18" borderId="7" xfId="0" applyFont="1" applyFill="1" applyBorder="1" applyAlignment="1">
      <alignment vertical="center"/>
    </xf>
    <xf numFmtId="1" fontId="22" fillId="10" borderId="57" xfId="13" applyNumberFormat="1" applyFont="1" applyFill="1" applyBorder="1" applyAlignment="1">
      <alignment horizontal="center" vertical="center" wrapText="1"/>
    </xf>
    <xf numFmtId="3" fontId="22" fillId="10" borderId="23" xfId="13" applyNumberFormat="1" applyFont="1" applyFill="1" applyBorder="1" applyAlignment="1">
      <alignment horizontal="center" vertical="center"/>
    </xf>
    <xf numFmtId="1" fontId="22" fillId="10" borderId="24" xfId="13" applyNumberFormat="1" applyFont="1" applyFill="1" applyBorder="1" applyAlignment="1">
      <alignment horizontal="center" vertical="center" wrapText="1"/>
    </xf>
    <xf numFmtId="1" fontId="22" fillId="10" borderId="25" xfId="13" applyNumberFormat="1" applyFont="1" applyFill="1" applyBorder="1" applyAlignment="1">
      <alignment horizontal="center" vertical="center" wrapText="1"/>
    </xf>
    <xf numFmtId="3" fontId="23" fillId="8" borderId="71" xfId="13" applyNumberFormat="1" applyFont="1" applyFill="1" applyBorder="1" applyAlignment="1">
      <alignment horizontal="center" vertical="center" wrapText="1"/>
    </xf>
    <xf numFmtId="3" fontId="23" fillId="8" borderId="72" xfId="13" applyNumberFormat="1" applyFont="1" applyFill="1" applyBorder="1" applyAlignment="1">
      <alignment horizontal="center" vertical="center" wrapText="1"/>
    </xf>
    <xf numFmtId="170" fontId="23" fillId="8" borderId="71" xfId="13" applyNumberFormat="1" applyFont="1" applyFill="1" applyBorder="1" applyAlignment="1">
      <alignment horizontal="center" vertical="center" wrapText="1"/>
    </xf>
    <xf numFmtId="170" fontId="23" fillId="8" borderId="72" xfId="13" applyNumberFormat="1" applyFont="1" applyFill="1" applyBorder="1" applyAlignment="1">
      <alignment horizontal="center" vertical="center" wrapText="1"/>
    </xf>
    <xf numFmtId="170" fontId="23" fillId="2" borderId="64" xfId="13" applyNumberFormat="1" applyFont="1" applyFill="1" applyBorder="1" applyAlignment="1">
      <alignment horizontal="center" vertical="center" wrapText="1"/>
    </xf>
    <xf numFmtId="170" fontId="23" fillId="2" borderId="66" xfId="13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10" fontId="14" fillId="8" borderId="75" xfId="17" applyNumberFormat="1" applyFont="1" applyFill="1" applyBorder="1" applyAlignment="1">
      <alignment horizontal="center" vertical="center" wrapText="1"/>
    </xf>
    <xf numFmtId="10" fontId="14" fillId="8" borderId="63" xfId="17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33" fillId="7" borderId="21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wrapText="1"/>
    </xf>
    <xf numFmtId="0" fontId="14" fillId="7" borderId="28" xfId="0" applyFont="1" applyFill="1" applyBorder="1" applyAlignment="1">
      <alignment horizontal="center" vertical="center"/>
    </xf>
    <xf numFmtId="43" fontId="14" fillId="7" borderId="22" xfId="0" applyNumberFormat="1" applyFont="1" applyFill="1" applyBorder="1" applyAlignment="1">
      <alignment horizontal="center" vertical="center"/>
    </xf>
    <xf numFmtId="10" fontId="14" fillId="7" borderId="22" xfId="0" applyNumberFormat="1" applyFont="1" applyFill="1" applyBorder="1" applyAlignment="1">
      <alignment horizontal="center"/>
    </xf>
    <xf numFmtId="0" fontId="31" fillId="13" borderId="75" xfId="0" applyFont="1" applyFill="1" applyBorder="1" applyAlignment="1">
      <alignment horizontal="left" vertical="center" wrapText="1"/>
    </xf>
    <xf numFmtId="166" fontId="31" fillId="13" borderId="77" xfId="0" applyNumberFormat="1" applyFont="1" applyFill="1" applyBorder="1" applyAlignment="1">
      <alignment horizontal="left" vertical="center"/>
    </xf>
    <xf numFmtId="0" fontId="31" fillId="20" borderId="75" xfId="0" applyFont="1" applyFill="1" applyBorder="1" applyAlignment="1">
      <alignment horizontal="left" vertical="center" wrapText="1"/>
    </xf>
    <xf numFmtId="165" fontId="31" fillId="20" borderId="77" xfId="0" applyNumberFormat="1" applyFont="1" applyFill="1" applyBorder="1" applyAlignment="1">
      <alignment horizontal="left" vertical="center"/>
    </xf>
    <xf numFmtId="165" fontId="31" fillId="20" borderId="77" xfId="16" applyNumberFormat="1" applyFont="1" applyFill="1" applyBorder="1" applyAlignment="1">
      <alignment horizontal="left"/>
    </xf>
    <xf numFmtId="0" fontId="31" fillId="20" borderId="63" xfId="0" applyFont="1" applyFill="1" applyBorder="1" applyAlignment="1">
      <alignment horizontal="left" vertical="center" wrapText="1"/>
    </xf>
    <xf numFmtId="165" fontId="31" fillId="20" borderId="72" xfId="0" applyNumberFormat="1" applyFont="1" applyFill="1" applyBorder="1" applyAlignment="1">
      <alignment horizontal="left"/>
    </xf>
    <xf numFmtId="10" fontId="8" fillId="2" borderId="77" xfId="17" applyNumberFormat="1" applyFont="1" applyFill="1" applyBorder="1" applyAlignment="1">
      <alignment horizontal="center" vertical="center"/>
    </xf>
    <xf numFmtId="43" fontId="8" fillId="8" borderId="70" xfId="0" applyNumberFormat="1" applyFont="1" applyFill="1" applyBorder="1" applyAlignment="1">
      <alignment horizontal="center"/>
    </xf>
    <xf numFmtId="43" fontId="8" fillId="8" borderId="77" xfId="0" applyNumberFormat="1" applyFont="1" applyFill="1" applyBorder="1" applyAlignment="1">
      <alignment horizontal="center"/>
    </xf>
    <xf numFmtId="43" fontId="8" fillId="8" borderId="71" xfId="0" applyNumberFormat="1" applyFont="1" applyFill="1" applyBorder="1" applyAlignment="1">
      <alignment horizontal="center"/>
    </xf>
    <xf numFmtId="0" fontId="34" fillId="2" borderId="0" xfId="5" applyFont="1" applyFill="1" applyBorder="1" applyAlignment="1">
      <alignment horizontal="center"/>
    </xf>
    <xf numFmtId="0" fontId="35" fillId="2" borderId="0" xfId="4" applyFont="1" applyFill="1"/>
    <xf numFmtId="3" fontId="36" fillId="7" borderId="67" xfId="5" applyNumberFormat="1" applyFont="1" applyFill="1" applyBorder="1" applyAlignment="1" applyProtection="1">
      <alignment horizontal="center"/>
      <protection locked="0"/>
    </xf>
    <xf numFmtId="0" fontId="25" fillId="2" borderId="0" xfId="4" applyFont="1" applyFill="1"/>
    <xf numFmtId="0" fontId="14" fillId="18" borderId="21" xfId="0" applyFont="1" applyFill="1" applyBorder="1" applyAlignment="1">
      <alignment vertical="center"/>
    </xf>
    <xf numFmtId="0" fontId="14" fillId="10" borderId="49" xfId="0" applyFont="1" applyFill="1" applyBorder="1" applyAlignment="1">
      <alignment horizontal="center" vertical="center"/>
    </xf>
    <xf numFmtId="0" fontId="14" fillId="10" borderId="50" xfId="0" applyFont="1" applyFill="1" applyBorder="1" applyAlignment="1">
      <alignment horizontal="center" vertical="center" wrapText="1"/>
    </xf>
    <xf numFmtId="0" fontId="14" fillId="10" borderId="51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/>
    </xf>
    <xf numFmtId="0" fontId="25" fillId="11" borderId="48" xfId="0" applyFont="1" applyFill="1" applyBorder="1" applyAlignment="1">
      <alignment horizontal="center" vertical="center"/>
    </xf>
    <xf numFmtId="168" fontId="25" fillId="11" borderId="48" xfId="0" applyNumberFormat="1" applyFont="1" applyFill="1" applyBorder="1" applyAlignment="1">
      <alignment horizontal="center" vertical="center"/>
    </xf>
    <xf numFmtId="0" fontId="25" fillId="10" borderId="16" xfId="0" applyFont="1" applyFill="1" applyBorder="1" applyAlignment="1">
      <alignment horizontal="center" vertical="center"/>
    </xf>
    <xf numFmtId="0" fontId="25" fillId="11" borderId="52" xfId="0" applyFont="1" applyFill="1" applyBorder="1" applyAlignment="1">
      <alignment horizontal="center" vertical="center"/>
    </xf>
    <xf numFmtId="0" fontId="22" fillId="12" borderId="0" xfId="0" applyFont="1" applyFill="1" applyAlignment="1">
      <alignment wrapText="1"/>
    </xf>
    <xf numFmtId="0" fontId="22" fillId="22" borderId="41" xfId="0" applyFont="1" applyFill="1" applyBorder="1" applyAlignment="1">
      <alignment wrapText="1"/>
    </xf>
    <xf numFmtId="4" fontId="22" fillId="22" borderId="85" xfId="15" applyNumberFormat="1" applyFont="1" applyFill="1" applyBorder="1" applyAlignment="1">
      <alignment horizontal="center" vertical="center"/>
    </xf>
    <xf numFmtId="4" fontId="23" fillId="23" borderId="88" xfId="15" applyNumberFormat="1" applyFont="1" applyFill="1" applyBorder="1" applyAlignment="1">
      <alignment horizontal="center" vertical="center"/>
    </xf>
    <xf numFmtId="4" fontId="23" fillId="23" borderId="89" xfId="15" applyNumberFormat="1" applyFont="1" applyFill="1" applyBorder="1" applyAlignment="1">
      <alignment horizontal="center" vertical="center"/>
    </xf>
    <xf numFmtId="0" fontId="22" fillId="12" borderId="0" xfId="0" applyFont="1" applyFill="1"/>
    <xf numFmtId="0" fontId="14" fillId="18" borderId="7" xfId="0" applyFont="1" applyFill="1" applyBorder="1"/>
    <xf numFmtId="43" fontId="14" fillId="2" borderId="0" xfId="0" applyNumberFormat="1" applyFont="1" applyFill="1" applyBorder="1"/>
    <xf numFmtId="0" fontId="14" fillId="2" borderId="0" xfId="0" applyFont="1" applyFill="1" applyBorder="1"/>
    <xf numFmtId="0" fontId="14" fillId="24" borderId="93" xfId="0" applyFont="1" applyFill="1" applyBorder="1"/>
    <xf numFmtId="2" fontId="8" fillId="24" borderId="94" xfId="0" applyNumberFormat="1" applyFont="1" applyFill="1" applyBorder="1" applyAlignment="1">
      <alignment horizontal="center" vertical="center"/>
    </xf>
    <xf numFmtId="43" fontId="8" fillId="24" borderId="93" xfId="0" applyNumberFormat="1" applyFont="1" applyFill="1" applyBorder="1" applyAlignment="1">
      <alignment horizontal="center" vertical="center"/>
    </xf>
    <xf numFmtId="4" fontId="8" fillId="24" borderId="95" xfId="0" applyNumberFormat="1" applyFont="1" applyFill="1" applyBorder="1" applyAlignment="1">
      <alignment horizontal="center" vertical="center"/>
    </xf>
    <xf numFmtId="0" fontId="14" fillId="24" borderId="96" xfId="0" applyFont="1" applyFill="1" applyBorder="1"/>
    <xf numFmtId="2" fontId="8" fillId="24" borderId="97" xfId="0" applyNumberFormat="1" applyFont="1" applyFill="1" applyBorder="1" applyAlignment="1">
      <alignment horizontal="center" vertical="center"/>
    </xf>
    <xf numFmtId="43" fontId="8" fillId="24" borderId="96" xfId="0" applyNumberFormat="1" applyFont="1" applyFill="1" applyBorder="1" applyAlignment="1">
      <alignment horizontal="center" vertical="center"/>
    </xf>
    <xf numFmtId="0" fontId="8" fillId="24" borderId="84" xfId="0" applyFont="1" applyFill="1" applyBorder="1" applyAlignment="1">
      <alignment horizontal="center" vertical="center"/>
    </xf>
    <xf numFmtId="0" fontId="23" fillId="25" borderId="98" xfId="0" applyFont="1" applyFill="1" applyBorder="1"/>
    <xf numFmtId="0" fontId="22" fillId="25" borderId="102" xfId="0" applyFont="1" applyFill="1" applyBorder="1" applyAlignment="1">
      <alignment horizontal="left" vertical="center" wrapText="1"/>
    </xf>
    <xf numFmtId="4" fontId="23" fillId="23" borderId="103" xfId="15" applyNumberFormat="1" applyFont="1" applyFill="1" applyBorder="1" applyAlignment="1">
      <alignment horizontal="center" vertical="center"/>
    </xf>
    <xf numFmtId="4" fontId="23" fillId="23" borderId="104" xfId="15" applyNumberFormat="1" applyFont="1" applyFill="1" applyBorder="1" applyAlignment="1">
      <alignment horizontal="center" vertical="center"/>
    </xf>
    <xf numFmtId="4" fontId="23" fillId="23" borderId="106" xfId="15" applyNumberFormat="1" applyFont="1" applyFill="1" applyBorder="1" applyAlignment="1">
      <alignment horizontal="center" vertical="center"/>
    </xf>
    <xf numFmtId="4" fontId="23" fillId="23" borderId="107" xfId="15" applyNumberFormat="1" applyFont="1" applyFill="1" applyBorder="1" applyAlignment="1">
      <alignment horizontal="center" vertical="center"/>
    </xf>
    <xf numFmtId="0" fontId="22" fillId="25" borderId="105" xfId="0" applyFont="1" applyFill="1" applyBorder="1" applyAlignment="1">
      <alignment horizontal="left" vertical="center" wrapText="1"/>
    </xf>
    <xf numFmtId="0" fontId="22" fillId="25" borderId="99" xfId="0" applyFont="1" applyFill="1" applyBorder="1" applyAlignment="1">
      <alignment horizontal="center" vertical="center"/>
    </xf>
    <xf numFmtId="0" fontId="22" fillId="25" borderId="100" xfId="0" applyFont="1" applyFill="1" applyBorder="1" applyAlignment="1">
      <alignment horizontal="center" vertical="center"/>
    </xf>
    <xf numFmtId="0" fontId="22" fillId="25" borderId="101" xfId="0" applyFont="1" applyFill="1" applyBorder="1" applyAlignment="1">
      <alignment horizontal="center" vertical="center"/>
    </xf>
    <xf numFmtId="0" fontId="23" fillId="25" borderId="91" xfId="0" applyFont="1" applyFill="1" applyBorder="1"/>
    <xf numFmtId="0" fontId="22" fillId="25" borderId="87" xfId="0" applyFont="1" applyFill="1" applyBorder="1" applyAlignment="1">
      <alignment horizontal="left" vertical="center" wrapText="1"/>
    </xf>
    <xf numFmtId="0" fontId="22" fillId="25" borderId="86" xfId="0" applyFont="1" applyFill="1" applyBorder="1" applyAlignment="1">
      <alignment horizontal="center" vertical="center" wrapText="1"/>
    </xf>
    <xf numFmtId="0" fontId="22" fillId="25" borderId="92" xfId="0" applyFont="1" applyFill="1" applyBorder="1" applyAlignment="1">
      <alignment horizontal="center" vertical="center"/>
    </xf>
    <xf numFmtId="0" fontId="22" fillId="25" borderId="86" xfId="0" applyFont="1" applyFill="1" applyBorder="1" applyAlignment="1">
      <alignment horizontal="center" vertical="center"/>
    </xf>
    <xf numFmtId="0" fontId="22" fillId="25" borderId="90" xfId="0" applyFont="1" applyFill="1" applyBorder="1" applyAlignment="1">
      <alignment horizontal="left" vertical="center" wrapText="1"/>
    </xf>
    <xf numFmtId="4" fontId="23" fillId="23" borderId="108" xfId="15" applyNumberFormat="1" applyFont="1" applyFill="1" applyBorder="1" applyAlignment="1">
      <alignment horizontal="center" vertical="center"/>
    </xf>
    <xf numFmtId="4" fontId="23" fillId="23" borderId="109" xfId="15" applyNumberFormat="1" applyFont="1" applyFill="1" applyBorder="1" applyAlignment="1">
      <alignment horizontal="center" vertical="center"/>
    </xf>
    <xf numFmtId="3" fontId="23" fillId="23" borderId="88" xfId="15" applyNumberFormat="1" applyFont="1" applyFill="1" applyBorder="1" applyAlignment="1">
      <alignment horizontal="center" vertical="center"/>
    </xf>
    <xf numFmtId="3" fontId="23" fillId="23" borderId="89" xfId="15" applyNumberFormat="1" applyFont="1" applyFill="1" applyBorder="1" applyAlignment="1">
      <alignment horizontal="center" vertical="center"/>
    </xf>
    <xf numFmtId="3" fontId="23" fillId="23" borderId="103" xfId="15" applyNumberFormat="1" applyFont="1" applyFill="1" applyBorder="1" applyAlignment="1">
      <alignment horizontal="center" vertical="center"/>
    </xf>
    <xf numFmtId="0" fontId="25" fillId="11" borderId="13" xfId="0" applyFont="1" applyFill="1" applyBorder="1" applyAlignment="1">
      <alignment horizontal="center" vertical="center" wrapText="1"/>
    </xf>
    <xf numFmtId="0" fontId="14" fillId="10" borderId="110" xfId="0" applyFont="1" applyFill="1" applyBorder="1" applyAlignment="1">
      <alignment horizontal="center" vertical="center" wrapText="1"/>
    </xf>
    <xf numFmtId="168" fontId="25" fillId="11" borderId="111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 wrapText="1"/>
    </xf>
    <xf numFmtId="0" fontId="18" fillId="9" borderId="19" xfId="0" applyFont="1" applyFill="1" applyBorder="1" applyAlignment="1">
      <alignment vertical="center" wrapText="1"/>
    </xf>
    <xf numFmtId="0" fontId="25" fillId="11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0" fillId="4" borderId="0" xfId="0" applyFont="1" applyFill="1" applyAlignment="1">
      <alignment vertical="center" wrapText="1"/>
    </xf>
    <xf numFmtId="0" fontId="10" fillId="6" borderId="4" xfId="1" applyFont="1" applyFill="1" applyBorder="1" applyAlignment="1" applyProtection="1">
      <alignment vertical="center" wrapText="1"/>
      <protection locked="0"/>
    </xf>
    <xf numFmtId="0" fontId="14" fillId="7" borderId="9" xfId="0" applyFont="1" applyFill="1" applyBorder="1" applyAlignment="1">
      <alignment vertical="center" wrapText="1"/>
    </xf>
    <xf numFmtId="2" fontId="14" fillId="2" borderId="36" xfId="0" applyNumberFormat="1" applyFont="1" applyFill="1" applyBorder="1" applyAlignment="1">
      <alignment horizontal="center"/>
    </xf>
    <xf numFmtId="2" fontId="14" fillId="8" borderId="36" xfId="13" applyNumberFormat="1" applyFont="1" applyFill="1" applyBorder="1" applyAlignment="1">
      <alignment horizontal="center" vertical="center"/>
    </xf>
    <xf numFmtId="2" fontId="14" fillId="8" borderId="37" xfId="13" applyNumberFormat="1" applyFont="1" applyFill="1" applyBorder="1" applyAlignment="1">
      <alignment horizontal="center" vertical="center"/>
    </xf>
    <xf numFmtId="0" fontId="40" fillId="18" borderId="7" xfId="0" applyFont="1" applyFill="1" applyBorder="1" applyAlignment="1">
      <alignment horizontal="left" vertical="center"/>
    </xf>
    <xf numFmtId="2" fontId="8" fillId="18" borderId="19" xfId="0" applyNumberFormat="1" applyFont="1" applyFill="1" applyBorder="1" applyAlignment="1">
      <alignment horizontal="left" vertical="center"/>
    </xf>
    <xf numFmtId="0" fontId="8" fillId="18" borderId="20" xfId="0" applyFont="1" applyFill="1" applyBorder="1" applyAlignment="1">
      <alignment horizontal="left" vertical="center"/>
    </xf>
    <xf numFmtId="2" fontId="8" fillId="18" borderId="20" xfId="0" applyNumberFormat="1" applyFont="1" applyFill="1" applyBorder="1" applyAlignment="1">
      <alignment horizontal="left" vertical="center"/>
    </xf>
    <xf numFmtId="0" fontId="31" fillId="16" borderId="44" xfId="14" applyNumberFormat="1" applyFont="1" applyFill="1" applyBorder="1" applyAlignment="1">
      <alignment horizontal="center" vertical="center" wrapText="1"/>
    </xf>
    <xf numFmtId="0" fontId="31" fillId="16" borderId="45" xfId="14" applyNumberFormat="1" applyFont="1" applyFill="1" applyBorder="1" applyAlignment="1">
      <alignment horizontal="center" vertical="center" wrapText="1"/>
    </xf>
    <xf numFmtId="165" fontId="31" fillId="16" borderId="113" xfId="14" applyNumberFormat="1" applyFont="1" applyFill="1" applyBorder="1" applyAlignment="1">
      <alignment horizontal="center" vertical="center" wrapText="1"/>
    </xf>
    <xf numFmtId="0" fontId="37" fillId="7" borderId="30" xfId="5" applyFont="1" applyFill="1" applyBorder="1" applyAlignment="1">
      <alignment horizontal="center" vertical="center" wrapText="1"/>
    </xf>
    <xf numFmtId="0" fontId="37" fillId="7" borderId="31" xfId="5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10" fontId="8" fillId="0" borderId="0" xfId="17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71" fontId="8" fillId="0" borderId="0" xfId="0" applyNumberFormat="1" applyFont="1" applyFill="1" applyBorder="1" applyAlignment="1">
      <alignment horizontal="center"/>
    </xf>
    <xf numFmtId="43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8" fontId="25" fillId="11" borderId="112" xfId="0" applyNumberFormat="1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vertical="center" wrapText="1"/>
    </xf>
    <xf numFmtId="0" fontId="6" fillId="8" borderId="13" xfId="0" applyFont="1" applyFill="1" applyBorder="1" applyAlignment="1">
      <alignment vertical="center" wrapText="1"/>
    </xf>
    <xf numFmtId="0" fontId="6" fillId="8" borderId="17" xfId="0" applyFont="1" applyFill="1" applyBorder="1" applyAlignment="1">
      <alignment vertical="center" wrapText="1"/>
    </xf>
    <xf numFmtId="0" fontId="6" fillId="8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3" fontId="22" fillId="0" borderId="0" xfId="13" applyNumberFormat="1" applyFont="1" applyFill="1" applyBorder="1" applyAlignment="1">
      <alignment horizontal="center" vertical="center"/>
    </xf>
    <xf numFmtId="1" fontId="22" fillId="0" borderId="0" xfId="13" applyNumberFormat="1" applyFont="1" applyFill="1" applyBorder="1" applyAlignment="1">
      <alignment horizontal="center" vertical="center" wrapText="1"/>
    </xf>
    <xf numFmtId="3" fontId="22" fillId="0" borderId="0" xfId="13" applyNumberFormat="1" applyFont="1" applyFill="1" applyBorder="1" applyAlignment="1">
      <alignment horizontal="center" vertical="center" wrapText="1"/>
    </xf>
    <xf numFmtId="3" fontId="23" fillId="0" borderId="0" xfId="13" applyNumberFormat="1" applyFont="1" applyFill="1" applyBorder="1" applyAlignment="1">
      <alignment horizontal="center" vertical="center" wrapText="1"/>
    </xf>
    <xf numFmtId="165" fontId="25" fillId="0" borderId="0" xfId="14" applyNumberFormat="1" applyFont="1" applyFill="1" applyBorder="1" applyAlignment="1">
      <alignment horizontal="right"/>
    </xf>
    <xf numFmtId="167" fontId="30" fillId="0" borderId="0" xfId="14" applyNumberFormat="1" applyFont="1" applyFill="1" applyBorder="1" applyAlignment="1">
      <alignment horizontal="center" vertical="center"/>
    </xf>
    <xf numFmtId="165" fontId="31" fillId="0" borderId="0" xfId="14" applyNumberFormat="1" applyFont="1" applyFill="1" applyBorder="1" applyAlignment="1">
      <alignment horizontal="right"/>
    </xf>
    <xf numFmtId="165" fontId="31" fillId="0" borderId="0" xfId="14" applyNumberFormat="1" applyFont="1" applyFill="1" applyBorder="1" applyAlignment="1">
      <alignment vertical="center" wrapText="1"/>
    </xf>
    <xf numFmtId="1" fontId="25" fillId="12" borderId="30" xfId="14" applyNumberFormat="1" applyFont="1" applyFill="1" applyBorder="1" applyAlignment="1">
      <alignment horizontal="center" vertical="center" wrapText="1"/>
    </xf>
    <xf numFmtId="1" fontId="25" fillId="12" borderId="70" xfId="14" applyNumberFormat="1" applyFont="1" applyFill="1" applyBorder="1" applyAlignment="1">
      <alignment horizontal="center" vertical="center" wrapText="1"/>
    </xf>
    <xf numFmtId="1" fontId="25" fillId="12" borderId="71" xfId="14" applyNumberFormat="1" applyFont="1" applyFill="1" applyBorder="1" applyAlignment="1">
      <alignment horizontal="center" vertical="center" wrapText="1"/>
    </xf>
    <xf numFmtId="167" fontId="31" fillId="16" borderId="46" xfId="14" applyNumberFormat="1" applyFont="1" applyFill="1" applyBorder="1" applyAlignment="1">
      <alignment horizontal="center"/>
    </xf>
    <xf numFmtId="1" fontId="25" fillId="12" borderId="33" xfId="14" applyNumberFormat="1" applyFont="1" applyFill="1" applyBorder="1" applyAlignment="1">
      <alignment horizontal="center" vertical="center" wrapText="1"/>
    </xf>
    <xf numFmtId="1" fontId="25" fillId="12" borderId="36" xfId="14" applyNumberFormat="1" applyFont="1" applyFill="1" applyBorder="1" applyAlignment="1">
      <alignment horizontal="center" vertical="center" wrapText="1"/>
    </xf>
    <xf numFmtId="1" fontId="25" fillId="12" borderId="30" xfId="14" applyNumberFormat="1" applyFont="1" applyFill="1" applyBorder="1" applyAlignment="1">
      <alignment horizontal="center"/>
    </xf>
    <xf numFmtId="1" fontId="25" fillId="12" borderId="33" xfId="14" applyNumberFormat="1" applyFont="1" applyFill="1" applyBorder="1" applyAlignment="1">
      <alignment horizontal="center"/>
    </xf>
    <xf numFmtId="1" fontId="25" fillId="12" borderId="33" xfId="14" applyNumberFormat="1" applyFont="1" applyFill="1" applyBorder="1" applyAlignment="1">
      <alignment horizontal="center" vertical="center"/>
    </xf>
    <xf numFmtId="1" fontId="25" fillId="12" borderId="36" xfId="14" applyNumberFormat="1" applyFont="1" applyFill="1" applyBorder="1" applyAlignment="1">
      <alignment horizontal="center"/>
    </xf>
    <xf numFmtId="1" fontId="25" fillId="12" borderId="30" xfId="15" applyNumberFormat="1" applyFont="1" applyFill="1" applyBorder="1" applyAlignment="1">
      <alignment horizontal="center"/>
    </xf>
    <xf numFmtId="1" fontId="25" fillId="12" borderId="33" xfId="15" applyNumberFormat="1" applyFont="1" applyFill="1" applyBorder="1" applyAlignment="1">
      <alignment horizontal="center"/>
    </xf>
    <xf numFmtId="1" fontId="25" fillId="12" borderId="33" xfId="15" applyNumberFormat="1" applyFont="1" applyFill="1" applyBorder="1" applyAlignment="1">
      <alignment horizontal="center" vertical="center"/>
    </xf>
    <xf numFmtId="1" fontId="25" fillId="12" borderId="36" xfId="15" applyNumberFormat="1" applyFont="1" applyFill="1" applyBorder="1" applyAlignment="1">
      <alignment horizontal="center"/>
    </xf>
    <xf numFmtId="167" fontId="31" fillId="16" borderId="47" xfId="14" applyNumberFormat="1" applyFont="1" applyFill="1" applyBorder="1" applyAlignment="1">
      <alignment horizontal="center"/>
    </xf>
    <xf numFmtId="2" fontId="25" fillId="14" borderId="48" xfId="15" applyNumberFormat="1" applyFont="1" applyFill="1" applyBorder="1" applyAlignment="1">
      <alignment horizontal="center" vertical="center"/>
    </xf>
    <xf numFmtId="2" fontId="25" fillId="14" borderId="13" xfId="15" applyNumberFormat="1" applyFont="1" applyFill="1" applyBorder="1" applyAlignment="1">
      <alignment horizontal="center" vertical="center"/>
    </xf>
    <xf numFmtId="2" fontId="25" fillId="14" borderId="52" xfId="15" applyNumberFormat="1" applyFont="1" applyFill="1" applyBorder="1" applyAlignment="1">
      <alignment horizontal="center" vertical="center"/>
    </xf>
    <xf numFmtId="2" fontId="25" fillId="14" borderId="17" xfId="15" applyNumberFormat="1" applyFont="1" applyFill="1" applyBorder="1" applyAlignment="1">
      <alignment horizontal="center" vertical="center"/>
    </xf>
    <xf numFmtId="0" fontId="25" fillId="0" borderId="0" xfId="14" applyFont="1" applyFill="1" applyBorder="1"/>
    <xf numFmtId="0" fontId="27" fillId="0" borderId="0" xfId="14" applyFont="1" applyFill="1" applyBorder="1"/>
    <xf numFmtId="0" fontId="28" fillId="0" borderId="0" xfId="14" applyFont="1" applyFill="1" applyBorder="1"/>
    <xf numFmtId="0" fontId="29" fillId="0" borderId="0" xfId="14" applyFont="1" applyFill="1" applyBorder="1" applyAlignment="1">
      <alignment horizontal="right"/>
    </xf>
    <xf numFmtId="1" fontId="14" fillId="7" borderId="22" xfId="0" applyNumberFormat="1" applyFont="1" applyFill="1" applyBorder="1" applyAlignment="1">
      <alignment horizontal="center" vertical="center"/>
    </xf>
    <xf numFmtId="171" fontId="6" fillId="8" borderId="70" xfId="0" applyNumberFormat="1" applyFont="1" applyFill="1" applyBorder="1" applyAlignment="1">
      <alignment horizontal="center"/>
    </xf>
    <xf numFmtId="43" fontId="6" fillId="8" borderId="77" xfId="0" applyNumberFormat="1" applyFont="1" applyFill="1" applyBorder="1" applyAlignment="1">
      <alignment horizontal="center"/>
    </xf>
    <xf numFmtId="0" fontId="40" fillId="18" borderId="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170" fontId="8" fillId="2" borderId="0" xfId="0" applyNumberFormat="1" applyFont="1" applyFill="1" applyAlignment="1">
      <alignment vertical="center"/>
    </xf>
    <xf numFmtId="1" fontId="8" fillId="8" borderId="53" xfId="0" applyNumberFormat="1" applyFont="1" applyFill="1" applyBorder="1" applyAlignment="1">
      <alignment horizontal="center" vertical="center"/>
    </xf>
    <xf numFmtId="1" fontId="8" fillId="8" borderId="55" xfId="0" applyNumberFormat="1" applyFont="1" applyFill="1" applyBorder="1" applyAlignment="1">
      <alignment horizontal="center" vertical="center"/>
    </xf>
    <xf numFmtId="2" fontId="25" fillId="14" borderId="30" xfId="14" applyNumberFormat="1" applyFont="1" applyFill="1" applyBorder="1" applyAlignment="1">
      <alignment horizontal="center"/>
    </xf>
    <xf numFmtId="2" fontId="25" fillId="14" borderId="31" xfId="14" applyNumberFormat="1" applyFont="1" applyFill="1" applyBorder="1" applyAlignment="1">
      <alignment horizontal="center"/>
    </xf>
    <xf numFmtId="2" fontId="25" fillId="14" borderId="33" xfId="14" applyNumberFormat="1" applyFont="1" applyFill="1" applyBorder="1" applyAlignment="1">
      <alignment horizontal="center"/>
    </xf>
    <xf numFmtId="2" fontId="25" fillId="14" borderId="34" xfId="14" applyNumberFormat="1" applyFont="1" applyFill="1" applyBorder="1" applyAlignment="1">
      <alignment horizontal="center"/>
    </xf>
    <xf numFmtId="2" fontId="25" fillId="14" borderId="33" xfId="14" applyNumberFormat="1" applyFont="1" applyFill="1" applyBorder="1" applyAlignment="1">
      <alignment horizontal="center" vertical="center"/>
    </xf>
    <xf numFmtId="2" fontId="25" fillId="14" borderId="34" xfId="14" applyNumberFormat="1" applyFont="1" applyFill="1" applyBorder="1" applyAlignment="1">
      <alignment horizontal="center" vertical="center"/>
    </xf>
    <xf numFmtId="2" fontId="25" fillId="14" borderId="36" xfId="14" applyNumberFormat="1" applyFont="1" applyFill="1" applyBorder="1" applyAlignment="1">
      <alignment horizontal="center"/>
    </xf>
    <xf numFmtId="2" fontId="25" fillId="14" borderId="37" xfId="14" applyNumberFormat="1" applyFont="1" applyFill="1" applyBorder="1" applyAlignment="1">
      <alignment horizontal="center"/>
    </xf>
    <xf numFmtId="165" fontId="31" fillId="16" borderId="46" xfId="14" applyNumberFormat="1" applyFont="1" applyFill="1" applyBorder="1" applyAlignment="1">
      <alignment horizontal="center"/>
    </xf>
    <xf numFmtId="165" fontId="31" fillId="16" borderId="47" xfId="14" applyNumberFormat="1" applyFont="1" applyFill="1" applyBorder="1" applyAlignment="1">
      <alignment horizontal="center"/>
    </xf>
    <xf numFmtId="165" fontId="40" fillId="16" borderId="44" xfId="14" applyNumberFormat="1" applyFont="1" applyFill="1" applyBorder="1" applyAlignment="1">
      <alignment horizontal="center" vertical="center" wrapText="1"/>
    </xf>
    <xf numFmtId="167" fontId="44" fillId="16" borderId="43" xfId="14" applyNumberFormat="1" applyFont="1" applyFill="1" applyBorder="1" applyAlignment="1">
      <alignment horizontal="center" vertical="center"/>
    </xf>
    <xf numFmtId="0" fontId="31" fillId="16" borderId="50" xfId="14" applyNumberFormat="1" applyFont="1" applyFill="1" applyBorder="1" applyAlignment="1">
      <alignment horizontal="center" vertical="center" wrapText="1"/>
    </xf>
    <xf numFmtId="0" fontId="31" fillId="16" borderId="51" xfId="14" applyNumberFormat="1" applyFont="1" applyFill="1" applyBorder="1" applyAlignment="1">
      <alignment horizontal="center" vertical="center" wrapText="1"/>
    </xf>
    <xf numFmtId="0" fontId="45" fillId="17" borderId="16" xfId="14" applyFont="1" applyFill="1" applyBorder="1" applyAlignment="1">
      <alignment horizontal="center" vertical="center"/>
    </xf>
    <xf numFmtId="10" fontId="4" fillId="2" borderId="72" xfId="17" applyNumberFormat="1" applyFont="1" applyFill="1" applyBorder="1" applyAlignment="1">
      <alignment horizontal="center" vertical="center"/>
    </xf>
    <xf numFmtId="171" fontId="4" fillId="8" borderId="71" xfId="0" applyNumberFormat="1" applyFont="1" applyFill="1" applyBorder="1" applyAlignment="1">
      <alignment horizontal="center"/>
    </xf>
    <xf numFmtId="43" fontId="4" fillId="8" borderId="72" xfId="0" applyNumberFormat="1" applyFont="1" applyFill="1" applyBorder="1" applyAlignment="1">
      <alignment horizontal="center"/>
    </xf>
    <xf numFmtId="0" fontId="40" fillId="8" borderId="81" xfId="4" applyFont="1" applyFill="1" applyBorder="1"/>
    <xf numFmtId="1" fontId="13" fillId="8" borderId="82" xfId="4" applyNumberFormat="1" applyFont="1" applyFill="1" applyBorder="1"/>
    <xf numFmtId="0" fontId="13" fillId="8" borderId="83" xfId="4" applyFont="1" applyFill="1" applyBorder="1"/>
    <xf numFmtId="0" fontId="13" fillId="2" borderId="0" xfId="4" applyFont="1" applyFill="1"/>
    <xf numFmtId="0" fontId="40" fillId="8" borderId="79" xfId="4" applyFont="1" applyFill="1" applyBorder="1"/>
    <xf numFmtId="1" fontId="13" fillId="8" borderId="78" xfId="4" applyNumberFormat="1" applyFont="1" applyFill="1" applyBorder="1"/>
    <xf numFmtId="0" fontId="13" fillId="8" borderId="80" xfId="4" applyFont="1" applyFill="1" applyBorder="1"/>
    <xf numFmtId="165" fontId="25" fillId="26" borderId="0" xfId="14" applyNumberFormat="1" applyFont="1" applyFill="1" applyBorder="1" applyAlignment="1">
      <alignment horizontal="right"/>
    </xf>
    <xf numFmtId="1" fontId="14" fillId="2" borderId="0" xfId="0" applyNumberFormat="1" applyFont="1" applyFill="1" applyBorder="1" applyAlignment="1">
      <alignment horizontal="center" vertical="center"/>
    </xf>
    <xf numFmtId="165" fontId="25" fillId="2" borderId="0" xfId="14" applyNumberFormat="1" applyFont="1" applyFill="1" applyBorder="1" applyAlignment="1">
      <alignment horizontal="right"/>
    </xf>
    <xf numFmtId="2" fontId="25" fillId="26" borderId="0" xfId="15" applyNumberFormat="1" applyFont="1" applyFill="1" applyBorder="1" applyAlignment="1">
      <alignment horizontal="center" vertical="center"/>
    </xf>
    <xf numFmtId="0" fontId="45" fillId="28" borderId="0" xfId="14" applyFont="1" applyFill="1" applyBorder="1" applyAlignment="1">
      <alignment horizontal="center" vertical="center"/>
    </xf>
    <xf numFmtId="165" fontId="31" fillId="2" borderId="0" xfId="14" applyNumberFormat="1" applyFont="1" applyFill="1" applyBorder="1" applyAlignment="1">
      <alignment horizontal="center" vertical="center" wrapText="1"/>
    </xf>
    <xf numFmtId="1" fontId="8" fillId="2" borderId="0" xfId="0" applyNumberFormat="1" applyFont="1" applyFill="1" applyBorder="1" applyAlignment="1">
      <alignment horizontal="center" vertical="center"/>
    </xf>
    <xf numFmtId="4" fontId="31" fillId="27" borderId="0" xfId="14" applyNumberFormat="1" applyFont="1" applyFill="1" applyBorder="1" applyAlignment="1">
      <alignment horizontal="center" vertical="center"/>
    </xf>
    <xf numFmtId="165" fontId="25" fillId="2" borderId="0" xfId="14" applyNumberFormat="1" applyFont="1" applyFill="1" applyBorder="1" applyAlignment="1">
      <alignment vertical="center"/>
    </xf>
    <xf numFmtId="2" fontId="14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165" fontId="25" fillId="2" borderId="0" xfId="14" applyNumberFormat="1" applyFont="1" applyFill="1" applyBorder="1" applyAlignment="1">
      <alignment horizontal="right" vertical="center"/>
    </xf>
    <xf numFmtId="2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40" fillId="18" borderId="7" xfId="0" applyFont="1" applyFill="1" applyBorder="1" applyAlignment="1">
      <alignment horizontal="center" vertical="center"/>
    </xf>
    <xf numFmtId="2" fontId="8" fillId="2" borderId="23" xfId="0" applyNumberFormat="1" applyFont="1" applyFill="1" applyBorder="1" applyAlignment="1">
      <alignment horizontal="center" vertical="center"/>
    </xf>
    <xf numFmtId="2" fontId="8" fillId="8" borderId="24" xfId="13" applyNumberFormat="1" applyFont="1" applyFill="1" applyBorder="1" applyAlignment="1">
      <alignment horizontal="center" vertical="center"/>
    </xf>
    <xf numFmtId="2" fontId="8" fillId="8" borderId="25" xfId="13" applyNumberFormat="1" applyFont="1" applyFill="1" applyBorder="1" applyAlignment="1">
      <alignment horizontal="center" vertical="center"/>
    </xf>
    <xf numFmtId="165" fontId="31" fillId="26" borderId="0" xfId="14" applyNumberFormat="1" applyFont="1" applyFill="1" applyBorder="1" applyAlignment="1">
      <alignment horizontal="left"/>
    </xf>
    <xf numFmtId="0" fontId="0" fillId="2" borderId="0" xfId="0" applyFill="1" applyBorder="1"/>
    <xf numFmtId="165" fontId="31" fillId="27" borderId="0" xfId="14" applyNumberFormat="1" applyFont="1" applyFill="1" applyBorder="1" applyAlignment="1">
      <alignment horizontal="center" vertical="center" wrapText="1"/>
    </xf>
    <xf numFmtId="0" fontId="31" fillId="27" borderId="0" xfId="14" applyNumberFormat="1" applyFont="1" applyFill="1" applyBorder="1" applyAlignment="1">
      <alignment horizontal="center" vertical="center" wrapText="1"/>
    </xf>
    <xf numFmtId="0" fontId="31" fillId="28" borderId="0" xfId="14" applyFont="1" applyFill="1" applyBorder="1" applyAlignment="1">
      <alignment horizontal="center" vertical="center"/>
    </xf>
    <xf numFmtId="10" fontId="14" fillId="8" borderId="114" xfId="17" applyNumberFormat="1" applyFont="1" applyFill="1" applyBorder="1" applyAlignment="1">
      <alignment horizontal="center" vertical="center" wrapText="1"/>
    </xf>
    <xf numFmtId="10" fontId="8" fillId="2" borderId="114" xfId="17" applyNumberFormat="1" applyFont="1" applyFill="1" applyBorder="1" applyAlignment="1">
      <alignment horizontal="center" vertical="center"/>
    </xf>
    <xf numFmtId="43" fontId="8" fillId="8" borderId="114" xfId="0" applyNumberFormat="1" applyFont="1" applyFill="1" applyBorder="1" applyAlignment="1">
      <alignment horizontal="center"/>
    </xf>
    <xf numFmtId="43" fontId="6" fillId="8" borderId="114" xfId="0" applyNumberFormat="1" applyFont="1" applyFill="1" applyBorder="1" applyAlignment="1">
      <alignment horizontal="center"/>
    </xf>
    <xf numFmtId="0" fontId="47" fillId="8" borderId="114" xfId="0" applyFont="1" applyFill="1" applyBorder="1"/>
    <xf numFmtId="10" fontId="4" fillId="2" borderId="114" xfId="17" applyNumberFormat="1" applyFont="1" applyFill="1" applyBorder="1" applyAlignment="1">
      <alignment horizontal="center" vertical="center"/>
    </xf>
    <xf numFmtId="43" fontId="4" fillId="8" borderId="114" xfId="0" applyNumberFormat="1" applyFont="1" applyFill="1" applyBorder="1" applyAlignment="1">
      <alignment horizontal="center"/>
    </xf>
    <xf numFmtId="0" fontId="14" fillId="7" borderId="3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3" fontId="31" fillId="26" borderId="0" xfId="15" applyNumberFormat="1" applyFont="1" applyFill="1" applyBorder="1" applyAlignment="1">
      <alignment horizontal="center" vertical="center"/>
    </xf>
    <xf numFmtId="3" fontId="31" fillId="27" borderId="0" xfId="14" applyNumberFormat="1" applyFont="1" applyFill="1" applyBorder="1" applyAlignment="1">
      <alignment horizontal="center" vertical="center"/>
    </xf>
    <xf numFmtId="0" fontId="23" fillId="29" borderId="7" xfId="0" applyFont="1" applyFill="1" applyBorder="1" applyAlignment="1">
      <alignment horizontal="center" vertical="center" wrapText="1"/>
    </xf>
    <xf numFmtId="0" fontId="22" fillId="29" borderId="20" xfId="0" applyFont="1" applyFill="1" applyBorder="1" applyAlignment="1">
      <alignment horizontal="center" vertical="center" wrapText="1"/>
    </xf>
    <xf numFmtId="0" fontId="22" fillId="29" borderId="19" xfId="0" applyFont="1" applyFill="1" applyBorder="1" applyAlignment="1">
      <alignment horizontal="center" vertical="center" wrapText="1"/>
    </xf>
    <xf numFmtId="0" fontId="22" fillId="29" borderId="7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23" fillId="30" borderId="123" xfId="0" applyFont="1" applyFill="1" applyBorder="1" applyAlignment="1">
      <alignment horizontal="center" vertical="center"/>
    </xf>
    <xf numFmtId="0" fontId="23" fillId="30" borderId="125" xfId="0" applyFont="1" applyFill="1" applyBorder="1" applyAlignment="1">
      <alignment horizontal="center" vertical="center"/>
    </xf>
    <xf numFmtId="0" fontId="23" fillId="30" borderId="125" xfId="0" applyFont="1" applyFill="1" applyBorder="1" applyAlignment="1">
      <alignment horizontal="center" vertical="center" wrapText="1"/>
    </xf>
    <xf numFmtId="0" fontId="23" fillId="30" borderId="124" xfId="0" applyFont="1" applyFill="1" applyBorder="1" applyAlignment="1">
      <alignment horizontal="center" vertical="center"/>
    </xf>
    <xf numFmtId="0" fontId="23" fillId="30" borderId="126" xfId="0" applyFont="1" applyFill="1" applyBorder="1" applyAlignment="1">
      <alignment horizontal="center" vertical="center"/>
    </xf>
    <xf numFmtId="4" fontId="23" fillId="30" borderId="127" xfId="0" applyNumberFormat="1" applyFont="1" applyFill="1" applyBorder="1" applyAlignment="1">
      <alignment horizontal="center" vertical="center"/>
    </xf>
    <xf numFmtId="0" fontId="23" fillId="30" borderId="127" xfId="0" applyFont="1" applyFill="1" applyBorder="1" applyAlignment="1">
      <alignment horizontal="center" vertical="center"/>
    </xf>
    <xf numFmtId="0" fontId="23" fillId="30" borderId="68" xfId="0" applyFont="1" applyFill="1" applyBorder="1" applyAlignment="1">
      <alignment horizontal="center" vertical="center"/>
    </xf>
    <xf numFmtId="0" fontId="23" fillId="32" borderId="0" xfId="0" applyFont="1" applyFill="1" applyAlignment="1">
      <alignment horizontal="left" vertical="center"/>
    </xf>
    <xf numFmtId="0" fontId="23" fillId="32" borderId="67" xfId="0" applyFont="1" applyFill="1" applyBorder="1" applyAlignment="1">
      <alignment horizontal="left" vertical="center"/>
    </xf>
    <xf numFmtId="4" fontId="23" fillId="32" borderId="128" xfId="0" applyNumberFormat="1" applyFont="1" applyFill="1" applyBorder="1" applyAlignment="1">
      <alignment horizontal="right" vertical="center"/>
    </xf>
    <xf numFmtId="0" fontId="23" fillId="32" borderId="128" xfId="0" applyFont="1" applyFill="1" applyBorder="1" applyAlignment="1">
      <alignment horizontal="right" vertical="center"/>
    </xf>
    <xf numFmtId="0" fontId="23" fillId="32" borderId="128" xfId="0" applyFont="1" applyFill="1" applyBorder="1" applyAlignment="1">
      <alignment horizontal="left" vertical="center"/>
    </xf>
    <xf numFmtId="0" fontId="37" fillId="7" borderId="29" xfId="5" applyFont="1" applyFill="1" applyBorder="1" applyAlignment="1">
      <alignment horizontal="center" vertical="center" wrapText="1"/>
    </xf>
    <xf numFmtId="0" fontId="35" fillId="2" borderId="0" xfId="4" applyFont="1" applyFill="1" applyBorder="1"/>
    <xf numFmtId="4" fontId="40" fillId="7" borderId="7" xfId="5" applyNumberFormat="1" applyFont="1" applyFill="1" applyBorder="1" applyAlignment="1">
      <alignment horizontal="center"/>
    </xf>
    <xf numFmtId="0" fontId="25" fillId="2" borderId="0" xfId="4" applyFont="1" applyFill="1" applyBorder="1"/>
    <xf numFmtId="0" fontId="23" fillId="30" borderId="129" xfId="0" applyFont="1" applyFill="1" applyBorder="1" applyAlignment="1">
      <alignment horizontal="center" vertical="center"/>
    </xf>
    <xf numFmtId="0" fontId="23" fillId="30" borderId="133" xfId="0" applyFont="1" applyFill="1" applyBorder="1" applyAlignment="1">
      <alignment horizontal="center" vertical="center"/>
    </xf>
    <xf numFmtId="0" fontId="23" fillId="30" borderId="133" xfId="0" applyFont="1" applyFill="1" applyBorder="1" applyAlignment="1">
      <alignment horizontal="center" vertical="center" wrapText="1"/>
    </xf>
    <xf numFmtId="0" fontId="23" fillId="30" borderId="1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0" fillId="16" borderId="134" xfId="14" applyNumberFormat="1" applyFont="1" applyFill="1" applyBorder="1" applyAlignment="1">
      <alignment horizontal="center" vertical="center" wrapText="1"/>
    </xf>
    <xf numFmtId="0" fontId="31" fillId="0" borderId="0" xfId="14" applyNumberFormat="1" applyFont="1" applyFill="1" applyBorder="1" applyAlignment="1">
      <alignment vertical="center" wrapText="1"/>
    </xf>
    <xf numFmtId="165" fontId="40" fillId="16" borderId="136" xfId="14" applyNumberFormat="1" applyFont="1" applyFill="1" applyBorder="1" applyAlignment="1">
      <alignment horizontal="center" vertical="center" wrapText="1"/>
    </xf>
    <xf numFmtId="167" fontId="44" fillId="16" borderId="7" xfId="14" applyNumberFormat="1" applyFont="1" applyFill="1" applyBorder="1" applyAlignment="1">
      <alignment horizontal="center" vertical="center"/>
    </xf>
    <xf numFmtId="1" fontId="14" fillId="10" borderId="139" xfId="0" applyNumberFormat="1" applyFont="1" applyFill="1" applyBorder="1" applyAlignment="1">
      <alignment horizontal="center" vertical="center" wrapText="1"/>
    </xf>
    <xf numFmtId="1" fontId="8" fillId="8" borderId="140" xfId="0" applyNumberFormat="1" applyFont="1" applyFill="1" applyBorder="1" applyAlignment="1">
      <alignment horizontal="center" vertical="center"/>
    </xf>
    <xf numFmtId="1" fontId="14" fillId="7" borderId="141" xfId="0" applyNumberFormat="1" applyFont="1" applyFill="1" applyBorder="1" applyAlignment="1">
      <alignment horizontal="center" vertical="center"/>
    </xf>
    <xf numFmtId="1" fontId="14" fillId="10" borderId="142" xfId="0" applyNumberFormat="1" applyFont="1" applyFill="1" applyBorder="1" applyAlignment="1">
      <alignment horizontal="center" vertical="center"/>
    </xf>
    <xf numFmtId="1" fontId="8" fillId="8" borderId="143" xfId="0" applyNumberFormat="1" applyFont="1" applyFill="1" applyBorder="1" applyAlignment="1">
      <alignment horizontal="center" vertical="center"/>
    </xf>
    <xf numFmtId="1" fontId="8" fillId="8" borderId="144" xfId="0" applyNumberFormat="1" applyFont="1" applyFill="1" applyBorder="1" applyAlignment="1">
      <alignment horizontal="center" vertical="center"/>
    </xf>
    <xf numFmtId="1" fontId="14" fillId="10" borderId="28" xfId="0" applyNumberFormat="1" applyFont="1" applyFill="1" applyBorder="1" applyAlignment="1">
      <alignment horizontal="center" vertical="center"/>
    </xf>
    <xf numFmtId="1" fontId="8" fillId="8" borderId="145" xfId="0" applyNumberFormat="1" applyFont="1" applyFill="1" applyBorder="1" applyAlignment="1">
      <alignment horizontal="center" vertical="center"/>
    </xf>
    <xf numFmtId="165" fontId="31" fillId="0" borderId="120" xfId="14" applyNumberFormat="1" applyFont="1" applyFill="1" applyBorder="1" applyAlignment="1">
      <alignment vertical="center" wrapText="1"/>
    </xf>
    <xf numFmtId="165" fontId="31" fillId="0" borderId="120" xfId="14" applyNumberFormat="1" applyFont="1" applyFill="1" applyBorder="1" applyAlignment="1">
      <alignment horizontal="center" vertical="center" wrapText="1"/>
    </xf>
    <xf numFmtId="165" fontId="31" fillId="19" borderId="18" xfId="14" applyNumberFormat="1" applyFont="1" applyFill="1" applyBorder="1" applyAlignment="1">
      <alignment horizontal="left"/>
    </xf>
    <xf numFmtId="0" fontId="0" fillId="18" borderId="20" xfId="0" applyFill="1" applyBorder="1"/>
    <xf numFmtId="4" fontId="31" fillId="16" borderId="18" xfId="14" applyNumberFormat="1" applyFont="1" applyFill="1" applyBorder="1" applyAlignment="1">
      <alignment horizontal="center" vertical="center"/>
    </xf>
    <xf numFmtId="4" fontId="31" fillId="16" borderId="146" xfId="14" applyNumberFormat="1" applyFont="1" applyFill="1" applyBorder="1" applyAlignment="1">
      <alignment horizontal="center" vertical="center"/>
    </xf>
    <xf numFmtId="4" fontId="31" fillId="16" borderId="147" xfId="14" applyNumberFormat="1" applyFont="1" applyFill="1" applyBorder="1" applyAlignment="1">
      <alignment horizontal="center" vertical="center"/>
    </xf>
    <xf numFmtId="1" fontId="14" fillId="7" borderId="149" xfId="0" applyNumberFormat="1" applyFont="1" applyFill="1" applyBorder="1" applyAlignment="1">
      <alignment horizontal="center" vertical="center"/>
    </xf>
    <xf numFmtId="1" fontId="14" fillId="7" borderId="150" xfId="0" applyNumberFormat="1" applyFont="1" applyFill="1" applyBorder="1" applyAlignment="1">
      <alignment horizontal="center" vertical="center"/>
    </xf>
    <xf numFmtId="1" fontId="14" fillId="10" borderId="151" xfId="0" applyNumberFormat="1" applyFont="1" applyFill="1" applyBorder="1" applyAlignment="1">
      <alignment horizontal="center" vertical="center" wrapText="1"/>
    </xf>
    <xf numFmtId="1" fontId="14" fillId="10" borderId="137" xfId="0" applyNumberFormat="1" applyFont="1" applyFill="1" applyBorder="1" applyAlignment="1">
      <alignment horizontal="center" vertical="center" wrapText="1"/>
    </xf>
    <xf numFmtId="1" fontId="14" fillId="10" borderId="145" xfId="0" applyNumberFormat="1" applyFont="1" applyFill="1" applyBorder="1" applyAlignment="1">
      <alignment horizontal="center" vertical="center" wrapText="1"/>
    </xf>
    <xf numFmtId="2" fontId="8" fillId="8" borderId="151" xfId="0" applyNumberFormat="1" applyFont="1" applyFill="1" applyBorder="1" applyAlignment="1">
      <alignment horizontal="center" vertical="center"/>
    </xf>
    <xf numFmtId="2" fontId="8" fillId="8" borderId="137" xfId="0" applyNumberFormat="1" applyFont="1" applyFill="1" applyBorder="1" applyAlignment="1">
      <alignment horizontal="center" vertical="center"/>
    </xf>
    <xf numFmtId="2" fontId="8" fillId="8" borderId="145" xfId="0" applyNumberFormat="1" applyFont="1" applyFill="1" applyBorder="1" applyAlignment="1">
      <alignment horizontal="center" vertical="center"/>
    </xf>
    <xf numFmtId="2" fontId="8" fillId="8" borderId="152" xfId="0" applyNumberFormat="1" applyFont="1" applyFill="1" applyBorder="1" applyAlignment="1">
      <alignment horizontal="center" vertical="center"/>
    </xf>
    <xf numFmtId="2" fontId="8" fillId="8" borderId="153" xfId="0" applyNumberFormat="1" applyFont="1" applyFill="1" applyBorder="1" applyAlignment="1">
      <alignment horizontal="center" vertical="center"/>
    </xf>
    <xf numFmtId="2" fontId="8" fillId="8" borderId="154" xfId="0" applyNumberFormat="1" applyFont="1" applyFill="1" applyBorder="1" applyAlignment="1">
      <alignment horizontal="center" vertical="center"/>
    </xf>
    <xf numFmtId="4" fontId="50" fillId="23" borderId="109" xfId="15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3" fillId="32" borderId="128" xfId="0" applyFont="1" applyFill="1" applyBorder="1" applyAlignment="1">
      <alignment horizontal="center" vertical="center"/>
    </xf>
    <xf numFmtId="0" fontId="23" fillId="32" borderId="68" xfId="0" applyFont="1" applyFill="1" applyBorder="1" applyAlignment="1">
      <alignment horizontal="center" vertical="center"/>
    </xf>
    <xf numFmtId="2" fontId="23" fillId="32" borderId="128" xfId="0" applyNumberFormat="1" applyFont="1" applyFill="1" applyBorder="1" applyAlignment="1">
      <alignment horizontal="center" vertical="center"/>
    </xf>
    <xf numFmtId="0" fontId="23" fillId="30" borderId="156" xfId="0" applyFont="1" applyFill="1" applyBorder="1" applyAlignment="1">
      <alignment horizontal="center" vertical="center"/>
    </xf>
    <xf numFmtId="0" fontId="23" fillId="29" borderId="157" xfId="0" applyFont="1" applyFill="1" applyBorder="1" applyAlignment="1">
      <alignment horizontal="center" vertical="center" wrapText="1"/>
    </xf>
    <xf numFmtId="0" fontId="23" fillId="29" borderId="158" xfId="0" applyFont="1" applyFill="1" applyBorder="1" applyAlignment="1">
      <alignment horizontal="center" vertical="center" wrapText="1"/>
    </xf>
    <xf numFmtId="0" fontId="23" fillId="31" borderId="158" xfId="0" applyFont="1" applyFill="1" applyBorder="1" applyAlignment="1">
      <alignment horizontal="center" vertical="center" wrapText="1"/>
    </xf>
    <xf numFmtId="0" fontId="23" fillId="29" borderId="159" xfId="0" applyFont="1" applyFill="1" applyBorder="1" applyAlignment="1">
      <alignment horizontal="center" vertical="center" wrapText="1"/>
    </xf>
    <xf numFmtId="0" fontId="23" fillId="29" borderId="16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14" fillId="10" borderId="7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 wrapText="1"/>
    </xf>
    <xf numFmtId="0" fontId="14" fillId="10" borderId="56" xfId="0" applyFont="1" applyFill="1" applyBorder="1" applyAlignment="1">
      <alignment horizontal="center" vertical="center" wrapText="1"/>
    </xf>
    <xf numFmtId="0" fontId="14" fillId="10" borderId="161" xfId="0" applyFont="1" applyFill="1" applyBorder="1" applyAlignment="1">
      <alignment horizontal="center" vertical="center"/>
    </xf>
    <xf numFmtId="3" fontId="3" fillId="2" borderId="161" xfId="0" applyNumberFormat="1" applyFont="1" applyFill="1" applyBorder="1"/>
    <xf numFmtId="168" fontId="3" fillId="2" borderId="161" xfId="0" applyNumberFormat="1" applyFont="1" applyFill="1" applyBorder="1"/>
    <xf numFmtId="2" fontId="3" fillId="2" borderId="161" xfId="0" applyNumberFormat="1" applyFont="1" applyFill="1" applyBorder="1"/>
    <xf numFmtId="0" fontId="3" fillId="2" borderId="161" xfId="0" applyFont="1" applyFill="1" applyBorder="1"/>
    <xf numFmtId="4" fontId="3" fillId="2" borderId="161" xfId="0" applyNumberFormat="1" applyFont="1" applyFill="1" applyBorder="1"/>
    <xf numFmtId="0" fontId="14" fillId="10" borderId="162" xfId="0" applyFont="1" applyFill="1" applyBorder="1" applyAlignment="1">
      <alignment horizontal="center" vertical="center"/>
    </xf>
    <xf numFmtId="3" fontId="3" fillId="2" borderId="162" xfId="0" applyNumberFormat="1" applyFont="1" applyFill="1" applyBorder="1"/>
    <xf numFmtId="168" fontId="3" fillId="2" borderId="162" xfId="0" applyNumberFormat="1" applyFont="1" applyFill="1" applyBorder="1"/>
    <xf numFmtId="2" fontId="3" fillId="2" borderId="162" xfId="0" applyNumberFormat="1" applyFont="1" applyFill="1" applyBorder="1"/>
    <xf numFmtId="0" fontId="3" fillId="2" borderId="162" xfId="0" applyFont="1" applyFill="1" applyBorder="1"/>
    <xf numFmtId="0" fontId="14" fillId="10" borderId="163" xfId="0" applyFont="1" applyFill="1" applyBorder="1" applyAlignment="1">
      <alignment horizontal="center" vertical="center"/>
    </xf>
    <xf numFmtId="3" fontId="3" fillId="2" borderId="163" xfId="0" applyNumberFormat="1" applyFont="1" applyFill="1" applyBorder="1"/>
    <xf numFmtId="168" fontId="3" fillId="2" borderId="163" xfId="0" applyNumberFormat="1" applyFont="1" applyFill="1" applyBorder="1"/>
    <xf numFmtId="2" fontId="3" fillId="2" borderId="163" xfId="0" applyNumberFormat="1" applyFont="1" applyFill="1" applyBorder="1"/>
    <xf numFmtId="0" fontId="3" fillId="2" borderId="163" xfId="0" applyFont="1" applyFill="1" applyBorder="1"/>
    <xf numFmtId="0" fontId="14" fillId="2" borderId="7" xfId="0" applyFont="1" applyFill="1" applyBorder="1"/>
    <xf numFmtId="0" fontId="3" fillId="2" borderId="0" xfId="0" applyFont="1" applyFill="1" applyBorder="1"/>
    <xf numFmtId="2" fontId="3" fillId="2" borderId="7" xfId="0" applyNumberFormat="1" applyFont="1" applyFill="1" applyBorder="1"/>
    <xf numFmtId="4" fontId="3" fillId="2" borderId="7" xfId="0" applyNumberFormat="1" applyFont="1" applyFill="1" applyBorder="1"/>
    <xf numFmtId="2" fontId="3" fillId="2" borderId="0" xfId="0" applyNumberFormat="1" applyFont="1" applyFill="1" applyBorder="1"/>
    <xf numFmtId="4" fontId="3" fillId="2" borderId="0" xfId="0" applyNumberFormat="1" applyFont="1" applyFill="1" applyBorder="1"/>
    <xf numFmtId="3" fontId="3" fillId="2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/>
    <xf numFmtId="2" fontId="3" fillId="0" borderId="0" xfId="0" applyNumberFormat="1" applyFont="1" applyFill="1" applyBorder="1"/>
    <xf numFmtId="4" fontId="3" fillId="0" borderId="0" xfId="0" applyNumberFormat="1" applyFont="1" applyFill="1" applyBorder="1"/>
    <xf numFmtId="0" fontId="14" fillId="0" borderId="0" xfId="0" applyFont="1" applyFill="1" applyBorder="1"/>
    <xf numFmtId="0" fontId="3" fillId="0" borderId="0" xfId="0" applyFont="1" applyFill="1" applyBorder="1"/>
    <xf numFmtId="0" fontId="18" fillId="2" borderId="0" xfId="0" applyFont="1" applyFill="1"/>
    <xf numFmtId="0" fontId="19" fillId="9" borderId="18" xfId="0" applyFont="1" applyFill="1" applyBorder="1"/>
    <xf numFmtId="0" fontId="18" fillId="9" borderId="19" xfId="0" applyFont="1" applyFill="1" applyBorder="1"/>
    <xf numFmtId="0" fontId="18" fillId="9" borderId="20" xfId="0" applyFont="1" applyFill="1" applyBorder="1"/>
    <xf numFmtId="0" fontId="33" fillId="18" borderId="7" xfId="0" applyFont="1" applyFill="1" applyBorder="1"/>
    <xf numFmtId="0" fontId="14" fillId="10" borderId="50" xfId="0" applyFont="1" applyFill="1" applyBorder="1" applyAlignment="1">
      <alignment horizontal="center" vertical="center"/>
    </xf>
    <xf numFmtId="0" fontId="40" fillId="10" borderId="50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/>
    </xf>
    <xf numFmtId="172" fontId="13" fillId="8" borderId="48" xfId="0" applyNumberFormat="1" applyFont="1" applyFill="1" applyBorder="1" applyAlignment="1">
      <alignment horizontal="right" vertical="center"/>
    </xf>
    <xf numFmtId="172" fontId="3" fillId="8" borderId="48" xfId="0" applyNumberFormat="1" applyFont="1" applyFill="1" applyBorder="1" applyAlignment="1">
      <alignment horizontal="right" vertical="center"/>
    </xf>
    <xf numFmtId="4" fontId="13" fillId="8" borderId="48" xfId="0" applyNumberFormat="1" applyFont="1" applyFill="1" applyBorder="1" applyAlignment="1">
      <alignment horizontal="right" vertical="center"/>
    </xf>
    <xf numFmtId="172" fontId="3" fillId="8" borderId="13" xfId="0" applyNumberFormat="1" applyFont="1" applyFill="1" applyBorder="1" applyAlignment="1">
      <alignment horizontal="right" vertical="center"/>
    </xf>
    <xf numFmtId="172" fontId="13" fillId="8" borderId="52" xfId="0" applyNumberFormat="1" applyFont="1" applyFill="1" applyBorder="1" applyAlignment="1">
      <alignment horizontal="right" vertical="center"/>
    </xf>
    <xf numFmtId="172" fontId="3" fillId="8" borderId="52" xfId="0" applyNumberFormat="1" applyFont="1" applyFill="1" applyBorder="1" applyAlignment="1">
      <alignment horizontal="right" vertical="center"/>
    </xf>
    <xf numFmtId="4" fontId="13" fillId="8" borderId="52" xfId="0" applyNumberFormat="1" applyFont="1" applyFill="1" applyBorder="1" applyAlignment="1">
      <alignment horizontal="right" vertical="center"/>
    </xf>
    <xf numFmtId="172" fontId="3" fillId="8" borderId="17" xfId="0" applyNumberFormat="1" applyFont="1" applyFill="1" applyBorder="1" applyAlignment="1">
      <alignment horizontal="right" vertical="center"/>
    </xf>
    <xf numFmtId="0" fontId="14" fillId="2" borderId="164" xfId="0" applyFont="1" applyFill="1" applyBorder="1" applyAlignment="1">
      <alignment horizontal="center" vertical="center"/>
    </xf>
    <xf numFmtId="172" fontId="14" fillId="2" borderId="164" xfId="0" applyNumberFormat="1" applyFont="1" applyFill="1" applyBorder="1" applyAlignment="1">
      <alignment horizontal="right" vertical="center"/>
    </xf>
    <xf numFmtId="4" fontId="40" fillId="2" borderId="164" xfId="0" applyNumberFormat="1" applyFont="1" applyFill="1" applyBorder="1" applyAlignment="1">
      <alignment horizontal="right" vertical="center"/>
    </xf>
    <xf numFmtId="0" fontId="52" fillId="18" borderId="7" xfId="0" applyFont="1" applyFill="1" applyBorder="1"/>
    <xf numFmtId="0" fontId="35" fillId="2" borderId="0" xfId="0" applyFont="1" applyFill="1"/>
    <xf numFmtId="0" fontId="53" fillId="10" borderId="29" xfId="0" applyFont="1" applyFill="1" applyBorder="1"/>
    <xf numFmtId="0" fontId="53" fillId="10" borderId="30" xfId="0" applyFont="1" applyFill="1" applyBorder="1"/>
    <xf numFmtId="0" fontId="53" fillId="10" borderId="31" xfId="0" applyFont="1" applyFill="1" applyBorder="1"/>
    <xf numFmtId="0" fontId="35" fillId="10" borderId="165" xfId="0" applyFont="1" applyFill="1" applyBorder="1"/>
    <xf numFmtId="168" fontId="35" fillId="8" borderId="166" xfId="0" applyNumberFormat="1" applyFont="1" applyFill="1" applyBorder="1"/>
    <xf numFmtId="173" fontId="35" fillId="8" borderId="166" xfId="0" applyNumberFormat="1" applyFont="1" applyFill="1" applyBorder="1"/>
    <xf numFmtId="168" fontId="35" fillId="8" borderId="167" xfId="0" applyNumberFormat="1" applyFont="1" applyFill="1" applyBorder="1"/>
    <xf numFmtId="0" fontId="35" fillId="8" borderId="167" xfId="0" applyFont="1" applyFill="1" applyBorder="1"/>
    <xf numFmtId="0" fontId="13" fillId="2" borderId="0" xfId="0" applyFont="1" applyFill="1" applyBorder="1"/>
    <xf numFmtId="0" fontId="54" fillId="2" borderId="0" xfId="0" applyFont="1" applyFill="1"/>
    <xf numFmtId="0" fontId="35" fillId="10" borderId="168" xfId="0" applyFont="1" applyFill="1" applyBorder="1"/>
    <xf numFmtId="174" fontId="35" fillId="8" borderId="169" xfId="0" applyNumberFormat="1" applyFont="1" applyFill="1" applyBorder="1"/>
    <xf numFmtId="175" fontId="35" fillId="8" borderId="169" xfId="0" applyNumberFormat="1" applyFont="1" applyFill="1" applyBorder="1"/>
    <xf numFmtId="0" fontId="35" fillId="8" borderId="170" xfId="0" applyFont="1" applyFill="1" applyBorder="1"/>
    <xf numFmtId="4" fontId="3" fillId="8" borderId="48" xfId="0" applyNumberFormat="1" applyFont="1" applyFill="1" applyBorder="1" applyAlignment="1">
      <alignment horizontal="right" vertical="center"/>
    </xf>
    <xf numFmtId="4" fontId="3" fillId="8" borderId="52" xfId="0" applyNumberFormat="1" applyFont="1" applyFill="1" applyBorder="1" applyAlignment="1">
      <alignment horizontal="right" vertical="center"/>
    </xf>
    <xf numFmtId="0" fontId="14" fillId="10" borderId="49" xfId="0" applyFont="1" applyFill="1" applyBorder="1" applyAlignment="1">
      <alignment horizontal="center" vertical="center" wrapText="1"/>
    </xf>
    <xf numFmtId="172" fontId="3" fillId="8" borderId="16" xfId="0" applyNumberFormat="1" applyFont="1" applyFill="1" applyBorder="1" applyAlignment="1">
      <alignment horizontal="right" vertical="center"/>
    </xf>
    <xf numFmtId="0" fontId="33" fillId="7" borderId="7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10" fontId="14" fillId="7" borderId="165" xfId="0" applyNumberFormat="1" applyFont="1" applyFill="1" applyBorder="1" applyAlignment="1">
      <alignment horizontal="center" vertical="center" wrapText="1"/>
    </xf>
    <xf numFmtId="10" fontId="3" fillId="2" borderId="171" xfId="17" applyNumberFormat="1" applyFont="1" applyFill="1" applyBorder="1" applyAlignment="1">
      <alignment horizontal="center" vertical="center"/>
    </xf>
    <xf numFmtId="2" fontId="3" fillId="8" borderId="166" xfId="0" applyNumberFormat="1" applyFont="1" applyFill="1" applyBorder="1" applyAlignment="1">
      <alignment horizontal="center"/>
    </xf>
    <xf numFmtId="10" fontId="13" fillId="0" borderId="0" xfId="17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/>
    </xf>
    <xf numFmtId="10" fontId="14" fillId="7" borderId="165" xfId="0" applyNumberFormat="1" applyFont="1" applyFill="1" applyBorder="1" applyAlignment="1">
      <alignment horizontal="center" vertical="center"/>
    </xf>
    <xf numFmtId="10" fontId="3" fillId="0" borderId="0" xfId="17" applyNumberFormat="1" applyFont="1" applyFill="1" applyBorder="1" applyAlignment="1">
      <alignment horizontal="center" vertical="center"/>
    </xf>
    <xf numFmtId="10" fontId="14" fillId="7" borderId="168" xfId="0" applyNumberFormat="1" applyFont="1" applyFill="1" applyBorder="1" applyAlignment="1">
      <alignment horizontal="center" vertical="center" wrapText="1"/>
    </xf>
    <xf numFmtId="10" fontId="3" fillId="2" borderId="172" xfId="17" applyNumberFormat="1" applyFont="1" applyFill="1" applyBorder="1" applyAlignment="1">
      <alignment horizontal="center" vertical="center"/>
    </xf>
    <xf numFmtId="2" fontId="3" fillId="8" borderId="16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4" fillId="7" borderId="7" xfId="0" applyFont="1" applyFill="1" applyBorder="1" applyAlignment="1">
      <alignment horizontal="center" vertical="center"/>
    </xf>
    <xf numFmtId="2" fontId="14" fillId="7" borderId="22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horizontal="center"/>
    </xf>
    <xf numFmtId="3" fontId="8" fillId="2" borderId="76" xfId="0" applyNumberFormat="1" applyFont="1" applyFill="1" applyBorder="1" applyAlignment="1">
      <alignment vertical="center" wrapText="1"/>
    </xf>
    <xf numFmtId="3" fontId="8" fillId="2" borderId="58" xfId="0" applyNumberFormat="1" applyFont="1" applyFill="1" applyBorder="1" applyAlignment="1">
      <alignment vertical="center" wrapText="1"/>
    </xf>
    <xf numFmtId="3" fontId="8" fillId="2" borderId="38" xfId="0" applyNumberFormat="1" applyFont="1" applyFill="1" applyBorder="1" applyAlignment="1">
      <alignment vertical="center" wrapText="1"/>
    </xf>
    <xf numFmtId="0" fontId="40" fillId="10" borderId="7" xfId="0" applyFont="1" applyFill="1" applyBorder="1" applyAlignment="1">
      <alignment horizontal="center" vertical="center"/>
    </xf>
    <xf numFmtId="10" fontId="14" fillId="0" borderId="0" xfId="17" applyNumberFormat="1" applyFont="1" applyFill="1" applyBorder="1" applyAlignment="1">
      <alignment horizontal="center" vertical="center" wrapText="1"/>
    </xf>
    <xf numFmtId="10" fontId="8" fillId="0" borderId="0" xfId="17" applyNumberFormat="1" applyFont="1" applyFill="1" applyBorder="1" applyAlignment="1">
      <alignment horizontal="center" vertical="center"/>
    </xf>
    <xf numFmtId="10" fontId="4" fillId="0" borderId="0" xfId="17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2" fontId="3" fillId="8" borderId="166" xfId="0" applyNumberFormat="1" applyFont="1" applyFill="1" applyBorder="1" applyAlignment="1">
      <alignment horizontal="center" vertical="center"/>
    </xf>
    <xf numFmtId="2" fontId="3" fillId="8" borderId="173" xfId="0" applyNumberFormat="1" applyFont="1" applyFill="1" applyBorder="1" applyAlignment="1">
      <alignment horizontal="center" vertical="center"/>
    </xf>
    <xf numFmtId="4" fontId="51" fillId="2" borderId="161" xfId="0" applyNumberFormat="1" applyFont="1" applyFill="1" applyBorder="1"/>
    <xf numFmtId="0" fontId="51" fillId="2" borderId="161" xfId="0" applyFont="1" applyFill="1" applyBorder="1"/>
    <xf numFmtId="2" fontId="51" fillId="2" borderId="162" xfId="0" applyNumberFormat="1" applyFont="1" applyFill="1" applyBorder="1"/>
    <xf numFmtId="0" fontId="51" fillId="2" borderId="162" xfId="0" applyFont="1" applyFill="1" applyBorder="1"/>
    <xf numFmtId="2" fontId="51" fillId="2" borderId="163" xfId="0" applyNumberFormat="1" applyFont="1" applyFill="1" applyBorder="1"/>
    <xf numFmtId="168" fontId="51" fillId="2" borderId="163" xfId="0" applyNumberFormat="1" applyFont="1" applyFill="1" applyBorder="1"/>
    <xf numFmtId="4" fontId="51" fillId="2" borderId="7" xfId="0" applyNumberFormat="1" applyFont="1" applyFill="1" applyBorder="1"/>
    <xf numFmtId="0" fontId="51" fillId="2" borderId="0" xfId="0" applyFont="1" applyFill="1" applyBorder="1"/>
    <xf numFmtId="171" fontId="6" fillId="8" borderId="114" xfId="0" applyNumberFormat="1" applyFont="1" applyFill="1" applyBorder="1" applyAlignment="1">
      <alignment horizontal="center" vertical="center"/>
    </xf>
    <xf numFmtId="0" fontId="47" fillId="8" borderId="114" xfId="0" applyFont="1" applyFill="1" applyBorder="1" applyAlignment="1">
      <alignment horizontal="center" vertical="center"/>
    </xf>
    <xf numFmtId="171" fontId="4" fillId="8" borderId="114" xfId="0" applyNumberFormat="1" applyFont="1" applyFill="1" applyBorder="1" applyAlignment="1">
      <alignment horizontal="center" vertical="center"/>
    </xf>
    <xf numFmtId="171" fontId="6" fillId="8" borderId="70" xfId="0" applyNumberFormat="1" applyFont="1" applyFill="1" applyBorder="1" applyAlignment="1">
      <alignment horizontal="center" vertical="center"/>
    </xf>
    <xf numFmtId="0" fontId="47" fillId="8" borderId="114" xfId="0" applyFont="1" applyFill="1" applyBorder="1" applyAlignment="1">
      <alignment vertical="center"/>
    </xf>
    <xf numFmtId="171" fontId="4" fillId="8" borderId="71" xfId="0" applyNumberFormat="1" applyFont="1" applyFill="1" applyBorder="1" applyAlignment="1">
      <alignment horizontal="center" vertical="center"/>
    </xf>
    <xf numFmtId="43" fontId="8" fillId="8" borderId="166" xfId="0" applyNumberFormat="1" applyFont="1" applyFill="1" applyBorder="1" applyAlignment="1">
      <alignment horizontal="center"/>
    </xf>
    <xf numFmtId="43" fontId="14" fillId="7" borderId="7" xfId="0" applyNumberFormat="1" applyFont="1" applyFill="1" applyBorder="1" applyAlignment="1">
      <alignment horizontal="center" vertical="center"/>
    </xf>
    <xf numFmtId="0" fontId="56" fillId="18" borderId="165" xfId="0" applyFont="1" applyFill="1" applyBorder="1" applyAlignment="1">
      <alignment horizontal="left" vertical="center" wrapText="1"/>
    </xf>
    <xf numFmtId="0" fontId="57" fillId="18" borderId="140" xfId="0" applyFont="1" applyFill="1" applyBorder="1" applyAlignment="1">
      <alignment horizontal="center" vertical="center" wrapText="1"/>
    </xf>
    <xf numFmtId="0" fontId="55" fillId="18" borderId="166" xfId="0" applyFont="1" applyFill="1" applyBorder="1" applyAlignment="1">
      <alignment horizontal="center" vertical="center"/>
    </xf>
    <xf numFmtId="0" fontId="55" fillId="18" borderId="167" xfId="0" applyFont="1" applyFill="1" applyBorder="1" applyAlignment="1">
      <alignment horizontal="center" vertical="center" wrapText="1"/>
    </xf>
    <xf numFmtId="0" fontId="58" fillId="0" borderId="165" xfId="0" applyFont="1" applyBorder="1" applyAlignment="1">
      <alignment horizontal="center" vertical="center" wrapText="1"/>
    </xf>
    <xf numFmtId="4" fontId="58" fillId="0" borderId="140" xfId="0" applyNumberFormat="1" applyFont="1" applyBorder="1" applyAlignment="1">
      <alignment horizontal="center" vertical="center" wrapText="1"/>
    </xf>
    <xf numFmtId="4" fontId="60" fillId="0" borderId="166" xfId="0" applyNumberFormat="1" applyFont="1" applyBorder="1" applyAlignment="1">
      <alignment horizontal="center" vertical="center" wrapText="1"/>
    </xf>
    <xf numFmtId="4" fontId="60" fillId="0" borderId="167" xfId="0" applyNumberFormat="1" applyFont="1" applyBorder="1" applyAlignment="1">
      <alignment horizontal="center" vertical="center" wrapText="1"/>
    </xf>
    <xf numFmtId="0" fontId="58" fillId="0" borderId="176" xfId="0" applyFont="1" applyBorder="1" applyAlignment="1">
      <alignment horizontal="center" vertical="center" wrapText="1"/>
    </xf>
    <xf numFmtId="4" fontId="58" fillId="0" borderId="167" xfId="0" applyNumberFormat="1" applyFont="1" applyBorder="1" applyAlignment="1">
      <alignment horizontal="center" vertical="center" wrapText="1"/>
    </xf>
    <xf numFmtId="10" fontId="58" fillId="0" borderId="140" xfId="0" applyNumberFormat="1" applyFont="1" applyBorder="1" applyAlignment="1">
      <alignment horizontal="center" vertical="center" wrapText="1"/>
    </xf>
    <xf numFmtId="10" fontId="58" fillId="0" borderId="166" xfId="0" applyNumberFormat="1" applyFont="1" applyBorder="1" applyAlignment="1">
      <alignment horizontal="center" vertical="center"/>
    </xf>
    <xf numFmtId="10" fontId="58" fillId="0" borderId="167" xfId="0" applyNumberFormat="1" applyFont="1" applyBorder="1" applyAlignment="1">
      <alignment horizontal="center" vertical="center" wrapText="1"/>
    </xf>
    <xf numFmtId="43" fontId="58" fillId="0" borderId="166" xfId="0" applyNumberFormat="1" applyFont="1" applyBorder="1" applyAlignment="1">
      <alignment vertical="center"/>
    </xf>
    <xf numFmtId="43" fontId="58" fillId="0" borderId="167" xfId="0" applyNumberFormat="1" applyFont="1" applyBorder="1" applyAlignment="1">
      <alignment vertical="center" wrapText="1"/>
    </xf>
    <xf numFmtId="0" fontId="58" fillId="0" borderId="140" xfId="0" applyFont="1" applyBorder="1" applyAlignment="1">
      <alignment horizontal="center" vertical="center" wrapText="1"/>
    </xf>
    <xf numFmtId="0" fontId="58" fillId="0" borderId="166" xfId="0" applyFont="1" applyBorder="1" applyAlignment="1">
      <alignment horizontal="center" vertical="center"/>
    </xf>
    <xf numFmtId="9" fontId="58" fillId="0" borderId="166" xfId="0" applyNumberFormat="1" applyFont="1" applyBorder="1" applyAlignment="1">
      <alignment horizontal="center" vertical="center" wrapText="1"/>
    </xf>
    <xf numFmtId="10" fontId="58" fillId="0" borderId="166" xfId="0" applyNumberFormat="1" applyFont="1" applyBorder="1" applyAlignment="1">
      <alignment horizontal="center" vertical="center" wrapText="1"/>
    </xf>
    <xf numFmtId="0" fontId="58" fillId="0" borderId="168" xfId="0" applyFont="1" applyBorder="1" applyAlignment="1">
      <alignment horizontal="center" vertical="center" wrapText="1"/>
    </xf>
    <xf numFmtId="43" fontId="2" fillId="8" borderId="114" xfId="0" applyNumberFormat="1" applyFont="1" applyFill="1" applyBorder="1" applyAlignment="1">
      <alignment horizontal="center"/>
    </xf>
    <xf numFmtId="43" fontId="2" fillId="8" borderId="77" xfId="0" applyNumberFormat="1" applyFont="1" applyFill="1" applyBorder="1" applyAlignment="1">
      <alignment horizontal="center"/>
    </xf>
    <xf numFmtId="0" fontId="14" fillId="18" borderId="18" xfId="0" applyFont="1" applyFill="1" applyBorder="1" applyAlignment="1">
      <alignment horizontal="left" vertical="center"/>
    </xf>
    <xf numFmtId="0" fontId="14" fillId="18" borderId="19" xfId="0" applyFont="1" applyFill="1" applyBorder="1" applyAlignment="1">
      <alignment horizontal="left" vertical="center"/>
    </xf>
    <xf numFmtId="0" fontId="14" fillId="18" borderId="2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" fontId="22" fillId="10" borderId="63" xfId="13" applyNumberFormat="1" applyFont="1" applyFill="1" applyBorder="1" applyAlignment="1">
      <alignment horizontal="center" vertical="center" wrapText="1"/>
    </xf>
    <xf numFmtId="3" fontId="22" fillId="10" borderId="71" xfId="13" applyNumberFormat="1" applyFont="1" applyFill="1" applyBorder="1" applyAlignment="1">
      <alignment horizontal="center" vertical="center" wrapText="1"/>
    </xf>
    <xf numFmtId="3" fontId="22" fillId="10" borderId="29" xfId="13" applyNumberFormat="1" applyFont="1" applyFill="1" applyBorder="1" applyAlignment="1">
      <alignment horizontal="center" vertical="center"/>
    </xf>
    <xf numFmtId="3" fontId="22" fillId="10" borderId="30" xfId="1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9" fontId="14" fillId="0" borderId="0" xfId="17" applyNumberFormat="1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horizontal="center" vertical="center"/>
    </xf>
    <xf numFmtId="0" fontId="14" fillId="10" borderId="30" xfId="0" applyFont="1" applyFill="1" applyBorder="1" applyAlignment="1">
      <alignment horizontal="center" vertical="center"/>
    </xf>
    <xf numFmtId="0" fontId="14" fillId="10" borderId="31" xfId="0" applyFont="1" applyFill="1" applyBorder="1" applyAlignment="1">
      <alignment horizontal="center" vertical="center"/>
    </xf>
    <xf numFmtId="169" fontId="14" fillId="10" borderId="63" xfId="17" applyNumberFormat="1" applyFont="1" applyFill="1" applyBorder="1" applyAlignment="1">
      <alignment horizontal="center" vertical="center"/>
    </xf>
    <xf numFmtId="169" fontId="14" fillId="10" borderId="71" xfId="17" applyNumberFormat="1" applyFont="1" applyFill="1" applyBorder="1" applyAlignment="1">
      <alignment horizontal="center" vertical="center"/>
    </xf>
    <xf numFmtId="169" fontId="14" fillId="10" borderId="72" xfId="17" applyNumberFormat="1" applyFont="1" applyFill="1" applyBorder="1" applyAlignment="1">
      <alignment horizontal="center" vertical="center"/>
    </xf>
    <xf numFmtId="0" fontId="14" fillId="18" borderId="18" xfId="0" applyFont="1" applyFill="1" applyBorder="1" applyAlignment="1">
      <alignment horizontal="center" vertical="center"/>
    </xf>
    <xf numFmtId="0" fontId="14" fillId="18" borderId="19" xfId="0" applyFont="1" applyFill="1" applyBorder="1" applyAlignment="1">
      <alignment horizontal="center" vertical="center"/>
    </xf>
    <xf numFmtId="0" fontId="14" fillId="18" borderId="20" xfId="0" applyFont="1" applyFill="1" applyBorder="1" applyAlignment="1">
      <alignment horizontal="center" vertical="center"/>
    </xf>
    <xf numFmtId="3" fontId="22" fillId="0" borderId="0" xfId="13" applyNumberFormat="1" applyFont="1" applyFill="1" applyBorder="1" applyAlignment="1">
      <alignment horizontal="center" vertical="center" wrapText="1"/>
    </xf>
    <xf numFmtId="3" fontId="22" fillId="0" borderId="0" xfId="13" applyNumberFormat="1" applyFont="1" applyFill="1" applyBorder="1" applyAlignment="1">
      <alignment horizontal="center" vertical="center"/>
    </xf>
    <xf numFmtId="3" fontId="22" fillId="10" borderId="69" xfId="13" applyNumberFormat="1" applyFont="1" applyFill="1" applyBorder="1" applyAlignment="1">
      <alignment horizontal="center" vertical="center" wrapText="1"/>
    </xf>
    <xf numFmtId="3" fontId="22" fillId="10" borderId="73" xfId="13" applyNumberFormat="1" applyFont="1" applyFill="1" applyBorder="1" applyAlignment="1">
      <alignment horizontal="center" vertical="center" wrapText="1"/>
    </xf>
    <xf numFmtId="1" fontId="14" fillId="10" borderId="63" xfId="17" applyNumberFormat="1" applyFont="1" applyFill="1" applyBorder="1" applyAlignment="1">
      <alignment horizontal="center" vertical="center"/>
    </xf>
    <xf numFmtId="1" fontId="14" fillId="10" borderId="71" xfId="17" applyNumberFormat="1" applyFont="1" applyFill="1" applyBorder="1" applyAlignment="1">
      <alignment horizontal="center" vertical="center"/>
    </xf>
    <xf numFmtId="1" fontId="14" fillId="10" borderId="72" xfId="17" applyNumberFormat="1" applyFont="1" applyFill="1" applyBorder="1" applyAlignment="1">
      <alignment horizontal="center" vertical="center"/>
    </xf>
    <xf numFmtId="0" fontId="40" fillId="18" borderId="18" xfId="0" applyFont="1" applyFill="1" applyBorder="1" applyAlignment="1">
      <alignment horizontal="center" vertical="center"/>
    </xf>
    <xf numFmtId="0" fontId="40" fillId="18" borderId="20" xfId="0" applyFont="1" applyFill="1" applyBorder="1" applyAlignment="1">
      <alignment horizontal="center" vertical="center"/>
    </xf>
    <xf numFmtId="4" fontId="8" fillId="8" borderId="155" xfId="0" applyNumberFormat="1" applyFont="1" applyFill="1" applyBorder="1" applyAlignment="1">
      <alignment horizontal="center" vertical="center"/>
    </xf>
    <xf numFmtId="4" fontId="8" fillId="8" borderId="61" xfId="0" applyNumberFormat="1" applyFont="1" applyFill="1" applyBorder="1" applyAlignment="1">
      <alignment horizontal="center" vertical="center"/>
    </xf>
    <xf numFmtId="4" fontId="8" fillId="8" borderId="39" xfId="0" applyNumberFormat="1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 wrapText="1"/>
    </xf>
    <xf numFmtId="0" fontId="14" fillId="7" borderId="39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4" fillId="7" borderId="114" xfId="0" applyFont="1" applyFill="1" applyBorder="1" applyAlignment="1">
      <alignment horizontal="center" vertical="center" wrapText="1"/>
    </xf>
    <xf numFmtId="0" fontId="14" fillId="18" borderId="18" xfId="0" applyFont="1" applyFill="1" applyBorder="1" applyAlignment="1">
      <alignment horizontal="left"/>
    </xf>
    <xf numFmtId="0" fontId="14" fillId="18" borderId="19" xfId="0" applyFont="1" applyFill="1" applyBorder="1" applyAlignment="1">
      <alignment horizontal="left"/>
    </xf>
    <xf numFmtId="0" fontId="14" fillId="18" borderId="20" xfId="0" applyFont="1" applyFill="1" applyBorder="1" applyAlignment="1">
      <alignment horizontal="left"/>
    </xf>
    <xf numFmtId="0" fontId="14" fillId="7" borderId="27" xfId="0" applyFont="1" applyFill="1" applyBorder="1" applyAlignment="1">
      <alignment horizontal="center" vertical="center"/>
    </xf>
    <xf numFmtId="0" fontId="14" fillId="7" borderId="38" xfId="0" applyFont="1" applyFill="1" applyBorder="1" applyAlignment="1">
      <alignment horizontal="center" vertical="center"/>
    </xf>
    <xf numFmtId="0" fontId="8" fillId="8" borderId="76" xfId="0" applyFont="1" applyFill="1" applyBorder="1" applyAlignment="1">
      <alignment horizontal="center" vertical="center"/>
    </xf>
    <xf numFmtId="0" fontId="8" fillId="8" borderId="58" xfId="0" applyFont="1" applyFill="1" applyBorder="1" applyAlignment="1">
      <alignment horizontal="center" vertical="center"/>
    </xf>
    <xf numFmtId="0" fontId="8" fillId="8" borderId="38" xfId="0" applyFont="1" applyFill="1" applyBorder="1" applyAlignment="1">
      <alignment horizontal="center" vertical="center"/>
    </xf>
    <xf numFmtId="0" fontId="40" fillId="7" borderId="74" xfId="0" applyFont="1" applyFill="1" applyBorder="1" applyAlignment="1">
      <alignment horizontal="center" vertical="center" wrapText="1"/>
    </xf>
    <xf numFmtId="0" fontId="40" fillId="7" borderId="60" xfId="0" applyFont="1" applyFill="1" applyBorder="1" applyAlignment="1">
      <alignment horizontal="center" vertical="center" wrapText="1"/>
    </xf>
    <xf numFmtId="0" fontId="40" fillId="7" borderId="40" xfId="0" applyFont="1" applyFill="1" applyBorder="1" applyAlignment="1">
      <alignment horizontal="center" vertical="center" wrapText="1"/>
    </xf>
    <xf numFmtId="3" fontId="8" fillId="2" borderId="76" xfId="0" applyNumberFormat="1" applyFont="1" applyFill="1" applyBorder="1" applyAlignment="1">
      <alignment horizontal="center" vertical="center" wrapText="1"/>
    </xf>
    <xf numFmtId="3" fontId="8" fillId="2" borderId="58" xfId="0" applyNumberFormat="1" applyFont="1" applyFill="1" applyBorder="1" applyAlignment="1">
      <alignment horizontal="center" vertical="center" wrapText="1"/>
    </xf>
    <xf numFmtId="3" fontId="8" fillId="2" borderId="38" xfId="0" applyNumberFormat="1" applyFont="1" applyFill="1" applyBorder="1" applyAlignment="1">
      <alignment horizontal="center" vertical="center" wrapText="1"/>
    </xf>
    <xf numFmtId="0" fontId="14" fillId="7" borderId="75" xfId="0" applyFont="1" applyFill="1" applyBorder="1" applyAlignment="1">
      <alignment horizontal="center" vertical="center" wrapText="1"/>
    </xf>
    <xf numFmtId="0" fontId="14" fillId="7" borderId="63" xfId="0" applyFont="1" applyFill="1" applyBorder="1" applyAlignment="1">
      <alignment horizontal="center" vertical="center" wrapText="1"/>
    </xf>
    <xf numFmtId="3" fontId="8" fillId="2" borderId="54" xfId="0" applyNumberFormat="1" applyFont="1" applyFill="1" applyBorder="1" applyAlignment="1">
      <alignment horizontal="center" vertical="center" wrapText="1"/>
    </xf>
    <xf numFmtId="0" fontId="40" fillId="7" borderId="116" xfId="0" applyFont="1" applyFill="1" applyBorder="1" applyAlignment="1">
      <alignment horizontal="center" vertical="center"/>
    </xf>
    <xf numFmtId="0" fontId="40" fillId="7" borderId="60" xfId="0" applyFont="1" applyFill="1" applyBorder="1" applyAlignment="1">
      <alignment horizontal="center" vertical="center"/>
    </xf>
    <xf numFmtId="0" fontId="40" fillId="7" borderId="40" xfId="0" applyFont="1" applyFill="1" applyBorder="1" applyAlignment="1">
      <alignment horizontal="center" vertical="center"/>
    </xf>
    <xf numFmtId="0" fontId="40" fillId="7" borderId="116" xfId="0" applyFont="1" applyFill="1" applyBorder="1" applyAlignment="1">
      <alignment horizontal="center" vertical="center" wrapText="1"/>
    </xf>
    <xf numFmtId="0" fontId="14" fillId="7" borderId="116" xfId="0" applyFont="1" applyFill="1" applyBorder="1" applyAlignment="1">
      <alignment horizontal="center" vertical="center" wrapText="1"/>
    </xf>
    <xf numFmtId="0" fontId="14" fillId="7" borderId="60" xfId="0" applyFont="1" applyFill="1" applyBorder="1" applyAlignment="1">
      <alignment horizontal="center" vertical="center" wrapText="1"/>
    </xf>
    <xf numFmtId="0" fontId="14" fillId="7" borderId="40" xfId="0" applyFont="1" applyFill="1" applyBorder="1" applyAlignment="1">
      <alignment horizontal="center" vertical="center" wrapText="1"/>
    </xf>
    <xf numFmtId="0" fontId="14" fillId="7" borderId="121" xfId="0" applyFont="1" applyFill="1" applyBorder="1" applyAlignment="1">
      <alignment horizontal="center" vertical="center" wrapText="1"/>
    </xf>
    <xf numFmtId="0" fontId="14" fillId="7" borderId="122" xfId="0" applyFont="1" applyFill="1" applyBorder="1" applyAlignment="1">
      <alignment horizontal="center" vertical="center" wrapText="1"/>
    </xf>
    <xf numFmtId="0" fontId="40" fillId="18" borderId="18" xfId="0" applyFont="1" applyFill="1" applyBorder="1" applyAlignment="1">
      <alignment horizontal="left"/>
    </xf>
    <xf numFmtId="0" fontId="40" fillId="18" borderId="19" xfId="0" applyFont="1" applyFill="1" applyBorder="1" applyAlignment="1">
      <alignment horizontal="left"/>
    </xf>
    <xf numFmtId="0" fontId="40" fillId="18" borderId="20" xfId="0" applyFont="1" applyFill="1" applyBorder="1" applyAlignment="1">
      <alignment horizontal="left"/>
    </xf>
    <xf numFmtId="0" fontId="40" fillId="7" borderId="121" xfId="0" applyFont="1" applyFill="1" applyBorder="1" applyAlignment="1">
      <alignment horizontal="center" vertical="center" wrapText="1"/>
    </xf>
    <xf numFmtId="3" fontId="8" fillId="2" borderId="173" xfId="0" applyNumberFormat="1" applyFont="1" applyFill="1" applyBorder="1" applyAlignment="1">
      <alignment horizontal="center" vertical="center" wrapText="1"/>
    </xf>
    <xf numFmtId="0" fontId="40" fillId="7" borderId="75" xfId="0" applyFont="1" applyFill="1" applyBorder="1" applyAlignment="1">
      <alignment horizontal="center" vertical="center" wrapText="1"/>
    </xf>
    <xf numFmtId="0" fontId="40" fillId="7" borderId="74" xfId="0" applyFont="1" applyFill="1" applyBorder="1" applyAlignment="1">
      <alignment horizontal="center" vertical="center"/>
    </xf>
    <xf numFmtId="0" fontId="14" fillId="7" borderId="74" xfId="0" applyFont="1" applyFill="1" applyBorder="1" applyAlignment="1">
      <alignment horizontal="center" vertical="center"/>
    </xf>
    <xf numFmtId="0" fontId="14" fillId="7" borderId="60" xfId="0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center" vertical="center"/>
    </xf>
    <xf numFmtId="4" fontId="8" fillId="8" borderId="55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/>
    </xf>
    <xf numFmtId="0" fontId="31" fillId="16" borderId="45" xfId="14" applyNumberFormat="1" applyFont="1" applyFill="1" applyBorder="1" applyAlignment="1">
      <alignment horizontal="center" vertical="center" wrapText="1"/>
    </xf>
    <xf numFmtId="0" fontId="31" fillId="16" borderId="119" xfId="14" applyNumberFormat="1" applyFont="1" applyFill="1" applyBorder="1" applyAlignment="1">
      <alignment horizontal="center" vertical="center" wrapText="1"/>
    </xf>
    <xf numFmtId="2" fontId="14" fillId="7" borderId="148" xfId="0" applyNumberFormat="1" applyFont="1" applyFill="1" applyBorder="1" applyAlignment="1">
      <alignment horizontal="center" vertical="center" wrapText="1"/>
    </xf>
    <xf numFmtId="2" fontId="14" fillId="7" borderId="149" xfId="0" applyNumberFormat="1" applyFont="1" applyFill="1" applyBorder="1" applyAlignment="1">
      <alignment horizontal="center" vertical="center" wrapText="1"/>
    </xf>
    <xf numFmtId="2" fontId="14" fillId="7" borderId="29" xfId="0" applyNumberFormat="1" applyFont="1" applyFill="1" applyBorder="1" applyAlignment="1">
      <alignment horizontal="center" vertical="center" wrapText="1"/>
    </xf>
    <xf numFmtId="2" fontId="14" fillId="7" borderId="30" xfId="0" applyNumberFormat="1" applyFont="1" applyFill="1" applyBorder="1" applyAlignment="1">
      <alignment horizontal="center" vertical="center" wrapText="1"/>
    </xf>
    <xf numFmtId="2" fontId="14" fillId="7" borderId="31" xfId="0" applyNumberFormat="1" applyFont="1" applyFill="1" applyBorder="1" applyAlignment="1">
      <alignment horizontal="center" vertical="center" wrapText="1"/>
    </xf>
    <xf numFmtId="165" fontId="40" fillId="16" borderId="44" xfId="14" applyNumberFormat="1" applyFont="1" applyFill="1" applyBorder="1" applyAlignment="1">
      <alignment horizontal="center" vertical="center" wrapText="1"/>
    </xf>
    <xf numFmtId="165" fontId="40" fillId="16" borderId="118" xfId="14" applyNumberFormat="1" applyFont="1" applyFill="1" applyBorder="1" applyAlignment="1">
      <alignment horizontal="center" vertical="center" wrapText="1"/>
    </xf>
    <xf numFmtId="165" fontId="40" fillId="16" borderId="136" xfId="14" applyNumberFormat="1" applyFont="1" applyFill="1" applyBorder="1" applyAlignment="1">
      <alignment horizontal="center" vertical="center" wrapText="1"/>
    </xf>
    <xf numFmtId="165" fontId="40" fillId="16" borderId="135" xfId="14" applyNumberFormat="1" applyFont="1" applyFill="1" applyBorder="1" applyAlignment="1">
      <alignment horizontal="center" vertical="center" wrapText="1"/>
    </xf>
    <xf numFmtId="2" fontId="14" fillId="7" borderId="21" xfId="0" applyNumberFormat="1" applyFont="1" applyFill="1" applyBorder="1" applyAlignment="1">
      <alignment horizontal="center" vertical="center" wrapText="1"/>
    </xf>
    <xf numFmtId="2" fontId="14" fillId="7" borderId="138" xfId="0" applyNumberFormat="1" applyFont="1" applyFill="1" applyBorder="1" applyAlignment="1">
      <alignment horizontal="center" vertical="center" wrapText="1"/>
    </xf>
    <xf numFmtId="2" fontId="14" fillId="7" borderId="19" xfId="0" applyNumberFormat="1" applyFont="1" applyFill="1" applyBorder="1" applyAlignment="1">
      <alignment horizontal="center" vertical="center" wrapText="1"/>
    </xf>
    <xf numFmtId="2" fontId="14" fillId="7" borderId="20" xfId="0" applyNumberFormat="1" applyFont="1" applyFill="1" applyBorder="1" applyAlignment="1">
      <alignment horizontal="center" vertical="center" wrapText="1"/>
    </xf>
    <xf numFmtId="0" fontId="31" fillId="16" borderId="44" xfId="14" applyNumberFormat="1" applyFont="1" applyFill="1" applyBorder="1" applyAlignment="1">
      <alignment horizontal="center" vertical="center" wrapText="1"/>
    </xf>
    <xf numFmtId="0" fontId="31" fillId="16" borderId="118" xfId="14" applyNumberFormat="1" applyFont="1" applyFill="1" applyBorder="1" applyAlignment="1">
      <alignment horizontal="center" vertical="center" wrapText="1"/>
    </xf>
    <xf numFmtId="165" fontId="31" fillId="17" borderId="32" xfId="14" applyNumberFormat="1" applyFont="1" applyFill="1" applyBorder="1" applyAlignment="1">
      <alignment horizontal="right" vertical="center" wrapText="1"/>
    </xf>
    <xf numFmtId="165" fontId="31" fillId="17" borderId="33" xfId="14" applyNumberFormat="1" applyFont="1" applyFill="1" applyBorder="1" applyAlignment="1">
      <alignment horizontal="right" vertical="center" wrapText="1"/>
    </xf>
    <xf numFmtId="165" fontId="31" fillId="17" borderId="35" xfId="14" applyNumberFormat="1" applyFont="1" applyFill="1" applyBorder="1" applyAlignment="1">
      <alignment horizontal="right" vertical="center" wrapText="1"/>
    </xf>
    <xf numFmtId="165" fontId="31" fillId="17" borderId="36" xfId="14" applyNumberFormat="1" applyFont="1" applyFill="1" applyBorder="1" applyAlignment="1">
      <alignment horizontal="right" vertical="center" wrapText="1"/>
    </xf>
    <xf numFmtId="165" fontId="31" fillId="17" borderId="29" xfId="14" applyNumberFormat="1" applyFont="1" applyFill="1" applyBorder="1" applyAlignment="1">
      <alignment horizontal="right" vertical="center" wrapText="1"/>
    </xf>
    <xf numFmtId="165" fontId="31" fillId="17" borderId="30" xfId="14" applyNumberFormat="1" applyFont="1" applyFill="1" applyBorder="1" applyAlignment="1">
      <alignment horizontal="right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167" fontId="30" fillId="7" borderId="21" xfId="14" applyNumberFormat="1" applyFont="1" applyFill="1" applyBorder="1" applyAlignment="1">
      <alignment horizontal="center" vertical="center"/>
    </xf>
    <xf numFmtId="167" fontId="30" fillId="7" borderId="22" xfId="14" applyNumberFormat="1" applyFont="1" applyFill="1" applyBorder="1" applyAlignment="1">
      <alignment horizontal="center" vertical="center"/>
    </xf>
    <xf numFmtId="0" fontId="40" fillId="7" borderId="18" xfId="0" applyFont="1" applyFill="1" applyBorder="1" applyAlignment="1">
      <alignment horizontal="left" vertical="center"/>
    </xf>
    <xf numFmtId="0" fontId="40" fillId="7" borderId="19" xfId="0" applyFont="1" applyFill="1" applyBorder="1" applyAlignment="1">
      <alignment horizontal="left" vertical="center"/>
    </xf>
    <xf numFmtId="0" fontId="40" fillId="7" borderId="20" xfId="0" applyFont="1" applyFill="1" applyBorder="1" applyAlignment="1">
      <alignment horizontal="left" vertical="center"/>
    </xf>
    <xf numFmtId="0" fontId="14" fillId="7" borderId="18" xfId="0" applyFont="1" applyFill="1" applyBorder="1" applyAlignment="1">
      <alignment horizontal="center" vertical="center" wrapText="1"/>
    </xf>
    <xf numFmtId="0" fontId="8" fillId="7" borderId="20" xfId="0" applyFont="1" applyFill="1" applyBorder="1"/>
    <xf numFmtId="0" fontId="33" fillId="7" borderId="29" xfId="0" applyFont="1" applyFill="1" applyBorder="1" applyAlignment="1">
      <alignment horizontal="center" vertical="center" wrapText="1"/>
    </xf>
    <xf numFmtId="0" fontId="33" fillId="7" borderId="31" xfId="0" applyFont="1" applyFill="1" applyBorder="1" applyAlignment="1">
      <alignment horizontal="center" vertical="center" wrapText="1"/>
    </xf>
    <xf numFmtId="2" fontId="46" fillId="0" borderId="130" xfId="15" applyNumberFormat="1" applyFont="1" applyFill="1" applyBorder="1" applyAlignment="1">
      <alignment horizontal="center" vertical="center"/>
    </xf>
    <xf numFmtId="2" fontId="46" fillId="0" borderId="61" xfId="15" applyNumberFormat="1" applyFont="1" applyFill="1" applyBorder="1" applyAlignment="1">
      <alignment horizontal="center" vertical="center"/>
    </xf>
    <xf numFmtId="2" fontId="46" fillId="0" borderId="55" xfId="15" applyNumberFormat="1" applyFont="1" applyFill="1" applyBorder="1" applyAlignment="1">
      <alignment horizontal="center" vertical="center"/>
    </xf>
    <xf numFmtId="1" fontId="46" fillId="0" borderId="115" xfId="5" applyNumberFormat="1" applyFont="1" applyFill="1" applyBorder="1" applyAlignment="1">
      <alignment horizontal="center" vertical="center" wrapText="1"/>
    </xf>
    <xf numFmtId="1" fontId="46" fillId="0" borderId="58" xfId="5" applyNumberFormat="1" applyFont="1" applyFill="1" applyBorder="1" applyAlignment="1">
      <alignment horizontal="center" vertical="center" wrapText="1"/>
    </xf>
    <xf numFmtId="1" fontId="46" fillId="0" borderId="54" xfId="5" applyNumberFormat="1" applyFont="1" applyFill="1" applyBorder="1" applyAlignment="1">
      <alignment horizontal="center" vertical="center" wrapText="1"/>
    </xf>
    <xf numFmtId="0" fontId="21" fillId="18" borderId="8" xfId="5" applyFont="1" applyFill="1" applyBorder="1" applyAlignment="1">
      <alignment horizontal="left"/>
    </xf>
    <xf numFmtId="0" fontId="21" fillId="18" borderId="9" xfId="5" applyFont="1" applyFill="1" applyBorder="1" applyAlignment="1">
      <alignment horizontal="left"/>
    </xf>
    <xf numFmtId="0" fontId="21" fillId="18" borderId="18" xfId="5" applyFont="1" applyFill="1" applyBorder="1" applyAlignment="1">
      <alignment horizontal="left"/>
    </xf>
    <xf numFmtId="0" fontId="21" fillId="18" borderId="20" xfId="5" applyFont="1" applyFill="1" applyBorder="1" applyAlignment="1">
      <alignment horizontal="left"/>
    </xf>
    <xf numFmtId="2" fontId="46" fillId="0" borderId="115" xfId="15" applyNumberFormat="1" applyFont="1" applyFill="1" applyBorder="1" applyAlignment="1">
      <alignment horizontal="center" vertical="center"/>
    </xf>
    <xf numFmtId="2" fontId="46" fillId="0" borderId="58" xfId="15" applyNumberFormat="1" applyFont="1" applyFill="1" applyBorder="1" applyAlignment="1">
      <alignment horizontal="center" vertical="center"/>
    </xf>
    <xf numFmtId="2" fontId="46" fillId="0" borderId="54" xfId="15" applyNumberFormat="1" applyFont="1" applyFill="1" applyBorder="1" applyAlignment="1">
      <alignment horizontal="center" vertical="center"/>
    </xf>
    <xf numFmtId="2" fontId="5" fillId="0" borderId="115" xfId="0" applyNumberFormat="1" applyFont="1" applyFill="1" applyBorder="1" applyAlignment="1">
      <alignment horizontal="center" vertical="center" wrapText="1"/>
    </xf>
    <xf numFmtId="2" fontId="5" fillId="0" borderId="58" xfId="0" applyNumberFormat="1" applyFont="1" applyFill="1" applyBorder="1" applyAlignment="1">
      <alignment horizontal="center" vertical="center" wrapText="1"/>
    </xf>
    <xf numFmtId="2" fontId="5" fillId="0" borderId="54" xfId="0" applyNumberFormat="1" applyFont="1" applyFill="1" applyBorder="1" applyAlignment="1">
      <alignment horizontal="center" vertical="center" wrapText="1"/>
    </xf>
    <xf numFmtId="0" fontId="46" fillId="0" borderId="115" xfId="5" applyFont="1" applyFill="1" applyBorder="1" applyAlignment="1">
      <alignment horizontal="center" vertical="center" wrapText="1"/>
    </xf>
    <xf numFmtId="0" fontId="46" fillId="0" borderId="58" xfId="5" applyFont="1" applyFill="1" applyBorder="1" applyAlignment="1">
      <alignment horizontal="center" vertical="center" wrapText="1"/>
    </xf>
    <xf numFmtId="0" fontId="46" fillId="0" borderId="54" xfId="5" applyFont="1" applyFill="1" applyBorder="1" applyAlignment="1">
      <alignment horizontal="center" vertical="center" wrapText="1"/>
    </xf>
    <xf numFmtId="2" fontId="46" fillId="0" borderId="131" xfId="5" applyNumberFormat="1" applyFont="1" applyFill="1" applyBorder="1" applyAlignment="1">
      <alignment horizontal="center" vertical="center" wrapText="1"/>
    </xf>
    <xf numFmtId="2" fontId="46" fillId="0" borderId="60" xfId="5" applyNumberFormat="1" applyFont="1" applyFill="1" applyBorder="1" applyAlignment="1">
      <alignment horizontal="center" vertical="center" wrapText="1"/>
    </xf>
    <xf numFmtId="2" fontId="46" fillId="0" borderId="117" xfId="5" applyNumberFormat="1" applyFont="1" applyFill="1" applyBorder="1" applyAlignment="1">
      <alignment horizontal="center" vertical="center" wrapText="1"/>
    </xf>
    <xf numFmtId="0" fontId="22" fillId="21" borderId="18" xfId="0" applyFont="1" applyFill="1" applyBorder="1" applyAlignment="1">
      <alignment horizontal="left"/>
    </xf>
    <xf numFmtId="0" fontId="22" fillId="21" borderId="20" xfId="0" applyFont="1" applyFill="1" applyBorder="1" applyAlignment="1">
      <alignment horizontal="left"/>
    </xf>
    <xf numFmtId="0" fontId="22" fillId="21" borderId="8" xfId="0" applyFont="1" applyFill="1" applyBorder="1" applyAlignment="1">
      <alignment horizontal="left"/>
    </xf>
    <xf numFmtId="0" fontId="22" fillId="21" borderId="9" xfId="0" applyFont="1" applyFill="1" applyBorder="1" applyAlignment="1">
      <alignment horizontal="left"/>
    </xf>
    <xf numFmtId="0" fontId="55" fillId="18" borderId="148" xfId="0" applyFont="1" applyFill="1" applyBorder="1" applyAlignment="1">
      <alignment horizontal="center" vertical="center"/>
    </xf>
    <xf numFmtId="0" fontId="55" fillId="18" borderId="174" xfId="0" applyFont="1" applyFill="1" applyBorder="1" applyAlignment="1">
      <alignment horizontal="center" vertical="center"/>
    </xf>
    <xf numFmtId="0" fontId="55" fillId="18" borderId="175" xfId="0" applyFont="1" applyFill="1" applyBorder="1" applyAlignment="1">
      <alignment horizontal="center" vertical="center"/>
    </xf>
    <xf numFmtId="0" fontId="58" fillId="0" borderId="171" xfId="0" applyFont="1" applyBorder="1" applyAlignment="1">
      <alignment horizontal="center" vertical="center"/>
    </xf>
    <xf numFmtId="0" fontId="58" fillId="0" borderId="140" xfId="0" applyFont="1" applyBorder="1" applyAlignment="1">
      <alignment horizontal="center" vertical="center"/>
    </xf>
    <xf numFmtId="4" fontId="58" fillId="0" borderId="171" xfId="0" applyNumberFormat="1" applyFont="1" applyBorder="1" applyAlignment="1">
      <alignment horizontal="center" vertical="center"/>
    </xf>
    <xf numFmtId="4" fontId="58" fillId="0" borderId="176" xfId="0" applyNumberFormat="1" applyFont="1" applyBorder="1" applyAlignment="1">
      <alignment horizontal="center" vertical="center"/>
    </xf>
    <xf numFmtId="4" fontId="58" fillId="0" borderId="177" xfId="0" applyNumberFormat="1" applyFont="1" applyBorder="1" applyAlignment="1">
      <alignment horizontal="center" vertical="center"/>
    </xf>
    <xf numFmtId="4" fontId="58" fillId="0" borderId="172" xfId="0" applyNumberFormat="1" applyFont="1" applyBorder="1" applyAlignment="1">
      <alignment horizontal="center" vertical="center" wrapText="1"/>
    </xf>
    <xf numFmtId="4" fontId="58" fillId="0" borderId="178" xfId="0" applyNumberFormat="1" applyFont="1" applyBorder="1" applyAlignment="1">
      <alignment horizontal="center" vertical="center" wrapText="1"/>
    </xf>
    <xf numFmtId="4" fontId="58" fillId="0" borderId="179" xfId="0" applyNumberFormat="1" applyFont="1" applyBorder="1" applyAlignment="1">
      <alignment horizontal="center" vertical="center" wrapText="1"/>
    </xf>
  </cellXfs>
  <cellStyles count="18">
    <cellStyle name="Dziesiętny" xfId="13" builtinId="3"/>
    <cellStyle name="Dziesiętny 2" xfId="2"/>
    <cellStyle name="Dziesiętny 3" xfId="3"/>
    <cellStyle name="Dziesiętny 4" xfId="15"/>
    <cellStyle name="Excel Built-in Normal" xfId="1"/>
    <cellStyle name="Normalny" xfId="0" builtinId="0"/>
    <cellStyle name="Normalny 2" xfId="4"/>
    <cellStyle name="Normalny 2 2" xfId="5"/>
    <cellStyle name="Normalny 2 3" xfId="6"/>
    <cellStyle name="Normalny 2 4" xfId="7"/>
    <cellStyle name="Normalny 3" xfId="8"/>
    <cellStyle name="Normalny 4" xfId="9"/>
    <cellStyle name="Normalny 5" xfId="14"/>
    <cellStyle name="Procentowy" xfId="17" builtinId="5"/>
    <cellStyle name="Procentowy 2" xfId="10"/>
    <cellStyle name="Standard_IB Finanzierung Basic" xfId="11"/>
    <cellStyle name="Walutowy" xfId="16" builtinId="4"/>
    <cellStyle name="Walutowy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Liczba </a:t>
            </a:r>
            <a:r>
              <a:rPr lang="pl-PL"/>
              <a:t>mieszkańców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Liczba mieszkańców</c:v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Charakterystyka!$C$5:$Q$5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(Charakterystyka!$C$9:$P$9,Charakterystyka!$X$9)</c:f>
              <c:numCache>
                <c:formatCode>#,##0</c:formatCode>
                <c:ptCount val="15"/>
                <c:pt idx="0">
                  <c:v>6251</c:v>
                </c:pt>
                <c:pt idx="1">
                  <c:v>6294</c:v>
                </c:pt>
                <c:pt idx="2">
                  <c:v>6274</c:v>
                </c:pt>
                <c:pt idx="3">
                  <c:v>6229</c:v>
                </c:pt>
                <c:pt idx="4">
                  <c:v>6208</c:v>
                </c:pt>
                <c:pt idx="5">
                  <c:v>6188</c:v>
                </c:pt>
                <c:pt idx="6">
                  <c:v>6160</c:v>
                </c:pt>
                <c:pt idx="7">
                  <c:v>6160</c:v>
                </c:pt>
                <c:pt idx="8">
                  <c:v>6139</c:v>
                </c:pt>
                <c:pt idx="9">
                  <c:v>6094</c:v>
                </c:pt>
                <c:pt idx="10">
                  <c:v>6108</c:v>
                </c:pt>
                <c:pt idx="11">
                  <c:v>6068</c:v>
                </c:pt>
                <c:pt idx="12">
                  <c:v>6083</c:v>
                </c:pt>
                <c:pt idx="13">
                  <c:v>6088</c:v>
                </c:pt>
                <c:pt idx="14">
                  <c:v>6022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845168"/>
        <c:axId val="310848696"/>
      </c:barChart>
      <c:catAx>
        <c:axId val="3108451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10848696"/>
        <c:crosses val="autoZero"/>
        <c:auto val="1"/>
        <c:lblAlgn val="ctr"/>
        <c:lblOffset val="100"/>
        <c:noMultiLvlLbl val="0"/>
      </c:catAx>
      <c:valAx>
        <c:axId val="3108486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0845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Prognoza</a:t>
            </a:r>
            <a:r>
              <a:rPr lang="pl-PL" baseline="0"/>
              <a:t> średniej powierzchni mieszkań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Charakterystyka!$V$84</c:f>
              <c:strCache>
                <c:ptCount val="1"/>
                <c:pt idx="0">
                  <c:v>Prognoza średniej powierzchni mieszkań  [m2]</c:v>
                </c:pt>
              </c:strCache>
            </c:strRef>
          </c:tx>
          <c:spPr>
            <a:ln w="31750" cmpd="sng">
              <a:solidFill>
                <a:schemeClr val="accent1"/>
              </a:solidFill>
              <a:prstDash val="sysDash"/>
              <a:tailEnd type="none"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Charakterystyka!$C$5:$W$5</c15:sqref>
                  </c15:fullRef>
                </c:ext>
              </c:extLst>
              <c:f>Charakterystyka!$E$5:$W$5</c:f>
              <c:numCache>
                <c:formatCode>0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(Charakterystyka!$C$87:$O$87,Charakterystyka!$P$86,Charakterystyka!$X$86:$AD$86)</c15:sqref>
                  </c15:fullRef>
                </c:ext>
              </c:extLst>
              <c:f>(Charakterystyka!$E$87:$O$87,Charakterystyka!$P$86,Charakterystyka!$X$86:$AD$86)</c:f>
              <c:numCache>
                <c:formatCode>General</c:formatCode>
                <c:ptCount val="19"/>
                <c:pt idx="11" formatCode="#\ ##0.0">
                  <c:v>94.7</c:v>
                </c:pt>
                <c:pt idx="12" formatCode="#\ ##0.0">
                  <c:v>95.057814796668296</c:v>
                </c:pt>
                <c:pt idx="13" formatCode="#\ ##0.0">
                  <c:v>95.389487017099441</c:v>
                </c:pt>
                <c:pt idx="14" formatCode="#\ ##0.0">
                  <c:v>95.725634566944407</c:v>
                </c:pt>
                <c:pt idx="15" formatCode="#\ ##0.0">
                  <c:v>96.065700110784675</c:v>
                </c:pt>
                <c:pt idx="16" formatCode="#\ ##0.0">
                  <c:v>96.410096752562538</c:v>
                </c:pt>
                <c:pt idx="17" formatCode="#\ ##0.0">
                  <c:v>96.758752083829521</c:v>
                </c:pt>
                <c:pt idx="18" formatCode="#\ ##0.0">
                  <c:v>97.112068965517295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Charakterystyka!$B$84</c:f>
              <c:strCache>
                <c:ptCount val="1"/>
                <c:pt idx="0">
                  <c:v>Średnia powierzchnia mieszkań  [m2]</c:v>
                </c:pt>
              </c:strCache>
            </c:strRef>
          </c:tx>
          <c:spPr>
            <a:ln w="31750" cap="rnd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Charakterystyka!$C$5:$W$5</c15:sqref>
                  </c15:fullRef>
                </c:ext>
              </c:extLst>
              <c:f>Charakterystyka!$E$5:$W$5</c:f>
              <c:numCache>
                <c:formatCode>0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Charakterystyka!$C$86:$P$86</c15:sqref>
                  </c15:fullRef>
                </c:ext>
              </c:extLst>
              <c:f>Charakterystyka!$E$86:$P$86</c:f>
              <c:numCache>
                <c:formatCode>#\ ##0.0</c:formatCode>
                <c:ptCount val="12"/>
                <c:pt idx="0">
                  <c:v>87.6</c:v>
                </c:pt>
                <c:pt idx="1">
                  <c:v>87.9</c:v>
                </c:pt>
                <c:pt idx="2">
                  <c:v>88.2</c:v>
                </c:pt>
                <c:pt idx="3">
                  <c:v>88.4</c:v>
                </c:pt>
                <c:pt idx="4">
                  <c:v>88.5</c:v>
                </c:pt>
                <c:pt idx="5">
                  <c:v>88.8</c:v>
                </c:pt>
                <c:pt idx="6">
                  <c:v>89.2</c:v>
                </c:pt>
                <c:pt idx="7">
                  <c:v>89.4</c:v>
                </c:pt>
                <c:pt idx="8">
                  <c:v>93.8</c:v>
                </c:pt>
                <c:pt idx="9">
                  <c:v>94.2</c:v>
                </c:pt>
                <c:pt idx="10">
                  <c:v>94.4</c:v>
                </c:pt>
                <c:pt idx="11">
                  <c:v>94.7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748160"/>
        <c:axId val="366748552"/>
      </c:lineChart>
      <c:catAx>
        <c:axId val="3667481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66748552"/>
        <c:crosses val="autoZero"/>
        <c:auto val="1"/>
        <c:lblAlgn val="ctr"/>
        <c:lblOffset val="100"/>
        <c:tickLblSkip val="2"/>
        <c:noMultiLvlLbl val="0"/>
      </c:catAx>
      <c:valAx>
        <c:axId val="36674855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674816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Prognoza</a:t>
            </a:r>
            <a:r>
              <a:rPr lang="pl-PL" baseline="0"/>
              <a:t> </a:t>
            </a:r>
            <a:r>
              <a:rPr lang="pl-PL" b="1" baseline="0"/>
              <a:t>ilości</a:t>
            </a:r>
            <a:r>
              <a:rPr lang="pl-PL" sz="1800" b="1" i="0" baseline="0"/>
              <a:t> podmiotów gospodarczych zarejestrowanych na terenie gminy</a:t>
            </a:r>
            <a:endParaRPr lang="pl-PL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Charakterystyka!$V$103</c:f>
              <c:strCache>
                <c:ptCount val="1"/>
                <c:pt idx="0">
                  <c:v>Prognoza zarejestrowanych podmiotów gospodarczych</c:v>
                </c:pt>
              </c:strCache>
            </c:strRef>
          </c:tx>
          <c:spPr>
            <a:ln w="31750" cmpd="sng">
              <a:solidFill>
                <a:schemeClr val="accent5"/>
              </a:solidFill>
              <a:prstDash val="sysDash"/>
              <a:tailEnd type="none"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Charakterystyka!$C$5:$W$5</c15:sqref>
                  </c15:fullRef>
                </c:ext>
              </c:extLst>
              <c:f>Charakterystyka!$E$5:$W$5</c:f>
              <c:numCache>
                <c:formatCode>0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(Charakterystyka!$C$106:$O$106,Charakterystyka!$P$105,Charakterystyka!$X$105:$AD$105)</c15:sqref>
                  </c15:fullRef>
                </c:ext>
              </c:extLst>
              <c:f>(Charakterystyka!$E$106:$O$106,Charakterystyka!$P$105,Charakterystyka!$X$105:$AD$105)</c:f>
              <c:numCache>
                <c:formatCode>General</c:formatCode>
                <c:ptCount val="19"/>
                <c:pt idx="11" formatCode="#,##0">
                  <c:v>433</c:v>
                </c:pt>
                <c:pt idx="12" formatCode="#,##0">
                  <c:v>428</c:v>
                </c:pt>
                <c:pt idx="13" formatCode="#,##0">
                  <c:v>450</c:v>
                </c:pt>
                <c:pt idx="14" formatCode="#,##0">
                  <c:v>473</c:v>
                </c:pt>
                <c:pt idx="15" formatCode="#,##0">
                  <c:v>497</c:v>
                </c:pt>
                <c:pt idx="16" formatCode="#,##0">
                  <c:v>522</c:v>
                </c:pt>
                <c:pt idx="17" formatCode="#,##0">
                  <c:v>549</c:v>
                </c:pt>
                <c:pt idx="18" formatCode="#,##0">
                  <c:v>577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Charakterystyka!$B$103</c:f>
              <c:strCache>
                <c:ptCount val="1"/>
                <c:pt idx="0">
                  <c:v>Zarejestrowane podmioty gospodarcze</c:v>
                </c:pt>
              </c:strCache>
            </c:strRef>
          </c:tx>
          <c:spPr>
            <a:ln w="31750" cap="rnd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Charakterystyka!$C$5:$W$5</c15:sqref>
                  </c15:fullRef>
                </c:ext>
              </c:extLst>
              <c:f>Charakterystyka!$E$5:$W$5</c:f>
              <c:numCache>
                <c:formatCode>0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Charakterystyka!$C$105:$P$105</c15:sqref>
                  </c15:fullRef>
                </c:ext>
              </c:extLst>
              <c:f>Charakterystyka!$E$105:$P$105</c:f>
              <c:numCache>
                <c:formatCode>#,##0</c:formatCode>
                <c:ptCount val="12"/>
                <c:pt idx="0">
                  <c:v>397</c:v>
                </c:pt>
                <c:pt idx="1">
                  <c:v>389</c:v>
                </c:pt>
                <c:pt idx="2">
                  <c:v>361</c:v>
                </c:pt>
                <c:pt idx="3">
                  <c:v>351</c:v>
                </c:pt>
                <c:pt idx="4">
                  <c:v>355</c:v>
                </c:pt>
                <c:pt idx="5">
                  <c:v>360</c:v>
                </c:pt>
                <c:pt idx="6">
                  <c:v>357</c:v>
                </c:pt>
                <c:pt idx="7">
                  <c:v>336</c:v>
                </c:pt>
                <c:pt idx="8">
                  <c:v>370</c:v>
                </c:pt>
                <c:pt idx="9">
                  <c:v>387</c:v>
                </c:pt>
                <c:pt idx="10">
                  <c:v>411</c:v>
                </c:pt>
                <c:pt idx="11">
                  <c:v>433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750120"/>
        <c:axId val="366750512"/>
      </c:lineChart>
      <c:catAx>
        <c:axId val="3667501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66750512"/>
        <c:crosses val="autoZero"/>
        <c:auto val="1"/>
        <c:lblAlgn val="ctr"/>
        <c:lblOffset val="100"/>
        <c:tickLblSkip val="2"/>
        <c:noMultiLvlLbl val="0"/>
      </c:catAx>
      <c:valAx>
        <c:axId val="36675051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675012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Zużycie energii elektrycznej - emisja CO</a:t>
            </a:r>
            <a:r>
              <a:rPr lang="pl-PL" baseline="-25000"/>
              <a:t>2</a:t>
            </a:r>
            <a:r>
              <a:rPr lang="pl-PL"/>
              <a:t> [Mg CO</a:t>
            </a:r>
            <a:r>
              <a:rPr lang="pl-PL" baseline="-25000"/>
              <a:t>2</a:t>
            </a:r>
            <a:r>
              <a:rPr lang="pl-PL"/>
              <a:t>]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'En. elektryczna'!$B$4</c:f>
              <c:strCache>
                <c:ptCount val="1"/>
                <c:pt idx="0">
                  <c:v>rok 2000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('En. elektryczna'!$B$4,'En. elektryczna'!$B$8,'En. elektryczna'!$B$12:$C$12)</c:f>
              <c:strCache>
                <c:ptCount val="3"/>
                <c:pt idx="0">
                  <c:v>rok 2000</c:v>
                </c:pt>
                <c:pt idx="1">
                  <c:v>rok 2013</c:v>
                </c:pt>
                <c:pt idx="2">
                  <c:v>rok 2020 - prognoza</c:v>
                </c:pt>
              </c:strCache>
            </c:strRef>
          </c:cat>
          <c:val>
            <c:numRef>
              <c:f>('En. elektryczna'!$E$6,'En. elektryczna'!$E$10,'En. elektryczna'!$E$14)</c:f>
              <c:numCache>
                <c:formatCode>0.00</c:formatCode>
                <c:ptCount val="3"/>
                <c:pt idx="0">
                  <c:v>1585.357</c:v>
                </c:pt>
                <c:pt idx="1">
                  <c:v>4275.9605000000001</c:v>
                </c:pt>
                <c:pt idx="2">
                  <c:v>5145.5843834177858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132472"/>
        <c:axId val="367132864"/>
      </c:barChart>
      <c:catAx>
        <c:axId val="367132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7132864"/>
        <c:crosses val="autoZero"/>
        <c:auto val="1"/>
        <c:lblAlgn val="ctr"/>
        <c:lblOffset val="100"/>
        <c:noMultiLvlLbl val="0"/>
      </c:catAx>
      <c:valAx>
        <c:axId val="3671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71324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Zużycie energii elektrycznej [MWh]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'En. elektryczna'!$B$4</c:f>
              <c:strCache>
                <c:ptCount val="1"/>
                <c:pt idx="0">
                  <c:v>rok 2000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('En. elektryczna'!$B$4,'En. elektryczna'!$B$8,'En. elektryczna'!$B$12:$C$12)</c:f>
              <c:strCache>
                <c:ptCount val="3"/>
                <c:pt idx="0">
                  <c:v>rok 2000</c:v>
                </c:pt>
                <c:pt idx="1">
                  <c:v>rok 2013</c:v>
                </c:pt>
                <c:pt idx="2">
                  <c:v>rok 2020 - prognoza</c:v>
                </c:pt>
              </c:strCache>
            </c:strRef>
          </c:cat>
          <c:val>
            <c:numRef>
              <c:f>('En. elektryczna'!$C$6,'En. elektryczna'!$C$10,'En. elektryczna'!$C$14)</c:f>
              <c:numCache>
                <c:formatCode>0.00</c:formatCode>
                <c:ptCount val="3"/>
                <c:pt idx="0">
                  <c:v>1781.3</c:v>
                </c:pt>
                <c:pt idx="1">
                  <c:v>4804.45</c:v>
                </c:pt>
                <c:pt idx="2">
                  <c:v>5781.5554869862763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134432"/>
        <c:axId val="367130904"/>
      </c:barChart>
      <c:catAx>
        <c:axId val="36713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7130904"/>
        <c:crosses val="autoZero"/>
        <c:auto val="1"/>
        <c:lblAlgn val="ctr"/>
        <c:lblOffset val="100"/>
        <c:noMultiLvlLbl val="0"/>
      </c:catAx>
      <c:valAx>
        <c:axId val="36713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71344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Prognoza zużycia energii elektrycznej [MWh]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'En. elektryczna'!$C$20</c:f>
              <c:strCache>
                <c:ptCount val="1"/>
                <c:pt idx="0">
                  <c:v>Faktyczne zużycie energii elektrycznej [MWh]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'En. elektryczna'!$B$21:$B$29</c:f>
              <c:numCache>
                <c:formatCode>0</c:formatCode>
                <c:ptCount val="9"/>
                <c:pt idx="0">
                  <c:v>2000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'En. elektryczna'!$C$21:$C$22</c:f>
              <c:numCache>
                <c:formatCode>0.00</c:formatCode>
                <c:ptCount val="2"/>
                <c:pt idx="0">
                  <c:v>1781.3</c:v>
                </c:pt>
                <c:pt idx="1">
                  <c:v>4804.45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'En. elektryczna'!$D$20</c:f>
              <c:strCache>
                <c:ptCount val="1"/>
                <c:pt idx="0">
                  <c:v>Prognozowane zużycie energii elektrycznej [MWh]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('En. elektryczna'!$D$21,'En. elektryczna'!$C$22,'En. elektryczna'!$D$23:$D$29)</c:f>
              <c:numCache>
                <c:formatCode>0.00</c:formatCode>
                <c:ptCount val="9"/>
                <c:pt idx="1">
                  <c:v>4804.45</c:v>
                </c:pt>
                <c:pt idx="2">
                  <c:v>4933.2092599999996</c:v>
                </c:pt>
                <c:pt idx="3">
                  <c:v>5065.4192681679997</c:v>
                </c:pt>
                <c:pt idx="4">
                  <c:v>5201.1725045549019</c:v>
                </c:pt>
                <c:pt idx="5">
                  <c:v>5340.5639276769734</c:v>
                </c:pt>
                <c:pt idx="6">
                  <c:v>5483.6910409387165</c:v>
                </c:pt>
                <c:pt idx="7">
                  <c:v>5630.6539608358744</c:v>
                </c:pt>
                <c:pt idx="8">
                  <c:v>5781.5554869862763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129728"/>
        <c:axId val="367132080"/>
      </c:lineChart>
      <c:catAx>
        <c:axId val="36712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7132080"/>
        <c:crosses val="autoZero"/>
        <c:auto val="1"/>
        <c:lblAlgn val="ctr"/>
        <c:lblOffset val="100"/>
        <c:tickLblSkip val="2"/>
        <c:noMultiLvlLbl val="0"/>
      </c:catAx>
      <c:valAx>
        <c:axId val="367132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7129728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Emisja pyłów PM10 [kg]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('Ruch lokalny - emisja'!$B$4,'Ruch lokalny - emisja'!$B$11,'Ruch lokalny - emisja'!$B$18)</c:f>
              <c:strCache>
                <c:ptCount val="3"/>
                <c:pt idx="0">
                  <c:v>2000</c:v>
                </c:pt>
                <c:pt idx="1">
                  <c:v>2013</c:v>
                </c:pt>
                <c:pt idx="2">
                  <c:v>2020 - prognoza</c:v>
                </c:pt>
              </c:strCache>
            </c:strRef>
          </c:cat>
          <c:val>
            <c:numRef>
              <c:f>('Ruch lokalny - emisja'!$K$8,'Ruch lokalny - emisja'!$K$15,'Ruch lokalny - emisja'!$K$22)</c:f>
              <c:numCache>
                <c:formatCode>#,##0.00</c:formatCode>
                <c:ptCount val="3"/>
                <c:pt idx="0">
                  <c:v>3283126.5075685214</c:v>
                </c:pt>
                <c:pt idx="1">
                  <c:v>5424345.9121038001</c:v>
                </c:pt>
                <c:pt idx="2">
                  <c:v>5301389.3194838399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133256"/>
        <c:axId val="367131296"/>
      </c:barChart>
      <c:catAx>
        <c:axId val="367133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7131296"/>
        <c:crosses val="autoZero"/>
        <c:auto val="1"/>
        <c:lblAlgn val="ctr"/>
        <c:lblOffset val="100"/>
        <c:noMultiLvlLbl val="0"/>
      </c:catAx>
      <c:valAx>
        <c:axId val="36713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Emisja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7133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Emisja pyłów PM2,5 [kg]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('Ruch lokalny - emisja'!$B$4,'Ruch lokalny - emisja'!$B$11,'Ruch lokalny - emisja'!$B$18)</c:f>
              <c:strCache>
                <c:ptCount val="3"/>
                <c:pt idx="0">
                  <c:v>2000</c:v>
                </c:pt>
                <c:pt idx="1">
                  <c:v>2013</c:v>
                </c:pt>
                <c:pt idx="2">
                  <c:v>2020 - prognoza</c:v>
                </c:pt>
              </c:strCache>
            </c:strRef>
          </c:cat>
          <c:val>
            <c:numRef>
              <c:f>('Ruch lokalny - emisja'!$M$8,'Ruch lokalny - emisja'!$M$15,'Ruch lokalny - emisja'!$M$22)</c:f>
              <c:numCache>
                <c:formatCode>#,##0.00</c:formatCode>
                <c:ptCount val="3"/>
                <c:pt idx="0">
                  <c:v>2962341.7416339228</c:v>
                </c:pt>
                <c:pt idx="1">
                  <c:v>4895017.5048945835</c:v>
                </c:pt>
                <c:pt idx="2">
                  <c:v>4784059.4865510454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134824"/>
        <c:axId val="367128552"/>
      </c:barChart>
      <c:catAx>
        <c:axId val="367134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7128552"/>
        <c:crosses val="autoZero"/>
        <c:auto val="1"/>
        <c:lblAlgn val="ctr"/>
        <c:lblOffset val="100"/>
        <c:noMultiLvlLbl val="0"/>
      </c:catAx>
      <c:valAx>
        <c:axId val="36712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Emisja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7134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Struktura paliw w</a:t>
            </a:r>
            <a:r>
              <a:rPr lang="pl-PL" baseline="0"/>
              <a:t>ykorzystywanych na potrzeby cieplne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2.1831845238095237E-2"/>
                  <c:y val="8.7265917602996255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6583496744951587E-2"/>
                  <c:y val="-9.881398252184769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24900793650792E-2"/>
                  <c:y val="6.284019975031211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Ciepło!$B$5:$B$8</c:f>
              <c:strCache>
                <c:ptCount val="4"/>
                <c:pt idx="0">
                  <c:v>paliwa stałe</c:v>
                </c:pt>
                <c:pt idx="1">
                  <c:v>drewno</c:v>
                </c:pt>
                <c:pt idx="2">
                  <c:v>olej opałowy</c:v>
                </c:pt>
                <c:pt idx="3">
                  <c:v>gaz płynny</c:v>
                </c:pt>
              </c:strCache>
            </c:strRef>
          </c:cat>
          <c:val>
            <c:numRef>
              <c:f>Ciepło!$C$5:$C$8</c:f>
              <c:numCache>
                <c:formatCode>0.00%</c:formatCode>
                <c:ptCount val="4"/>
                <c:pt idx="0">
                  <c:v>0.85</c:v>
                </c:pt>
                <c:pt idx="1">
                  <c:v>0.12</c:v>
                </c:pt>
                <c:pt idx="2">
                  <c:v>0.02</c:v>
                </c:pt>
                <c:pt idx="3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Zapotrzebowanie na energię cieplną</a:t>
            </a:r>
            <a:r>
              <a:rPr lang="pl-PL"/>
              <a:t> [GJ]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Ciepło!$B$11</c:f>
              <c:strCache>
                <c:ptCount val="1"/>
                <c:pt idx="0">
                  <c:v>Zapotrzebowanie na energię cieplną</c:v>
                </c:pt>
              </c:strCache>
            </c:strRef>
          </c:tx>
          <c:invertIfNegative val="0"/>
          <c:cat>
            <c:strRef>
              <c:f>Ciepło!$B$13:$B$15</c:f>
              <c:strCache>
                <c:ptCount val="3"/>
                <c:pt idx="0">
                  <c:v>Ogólne zapotrzebowanie na energię w roku 2000 r. [GJ]</c:v>
                </c:pt>
                <c:pt idx="1">
                  <c:v>Ogólne zapotrzebowanie na energię w roku 2013 r. [GJ]</c:v>
                </c:pt>
                <c:pt idx="2">
                  <c:v>Ogólne zapotrzebowanie na energię w roku 2020 r. [GJ]</c:v>
                </c:pt>
              </c:strCache>
            </c:strRef>
          </c:cat>
          <c:val>
            <c:numRef>
              <c:f>Ciepło!$C$13:$C$15</c:f>
              <c:numCache>
                <c:formatCode>" "#\ ##0.00"    ";"-"#\ ##0.00"    ";" -"00"    ";" "@" "</c:formatCode>
                <c:ptCount val="3"/>
                <c:pt idx="0">
                  <c:v>123679.545</c:v>
                </c:pt>
                <c:pt idx="1">
                  <c:v>157777.31699999998</c:v>
                </c:pt>
                <c:pt idx="2">
                  <c:v>168323.883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67128944"/>
        <c:axId val="367130120"/>
      </c:barChart>
      <c:catAx>
        <c:axId val="367128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67130120"/>
        <c:crosses val="autoZero"/>
        <c:auto val="1"/>
        <c:lblAlgn val="ctr"/>
        <c:lblOffset val="100"/>
        <c:noMultiLvlLbl val="0"/>
      </c:catAx>
      <c:valAx>
        <c:axId val="367130120"/>
        <c:scaling>
          <c:orientation val="minMax"/>
          <c:min val="0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367128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Struktura pokrycia zapotrzebowania na energię</a:t>
            </a:r>
            <a:r>
              <a:rPr lang="pl-PL" baseline="0"/>
              <a:t> cieplną [GJ]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Ciepło!$E$5</c:f>
              <c:strCache>
                <c:ptCount val="1"/>
                <c:pt idx="0">
                  <c:v>paliwa stałe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(Ciepło!$E$4,Ciepło!$E$11,Ciepło!$E$19)</c:f>
              <c:strCache>
                <c:ptCount val="3"/>
                <c:pt idx="0">
                  <c:v>2000</c:v>
                </c:pt>
                <c:pt idx="1">
                  <c:v>2013</c:v>
                </c:pt>
                <c:pt idx="2">
                  <c:v>2020 - Prognoza</c:v>
                </c:pt>
              </c:strCache>
            </c:strRef>
          </c:cat>
          <c:val>
            <c:numRef>
              <c:f>(Ciepło!$G$5,Ciepło!$G$12,Ciepło!$G$20)</c:f>
              <c:numCache>
                <c:formatCode>_(* #,##0.00_);_(* \(#,##0.00\);_(* "-"??_);_(@_)</c:formatCode>
                <c:ptCount val="3"/>
                <c:pt idx="0">
                  <c:v>105127.61324999999</c:v>
                </c:pt>
                <c:pt idx="1">
                  <c:v>134110.71944999998</c:v>
                </c:pt>
                <c:pt idx="2">
                  <c:v>143075.30054999999</c:v>
                </c:pt>
              </c:numCache>
            </c:numRef>
          </c:val>
        </c:ser>
        <c:ser>
          <c:idx val="2"/>
          <c:order val="1"/>
          <c:tx>
            <c:strRef>
              <c:f>Ciepło!$E$6</c:f>
              <c:strCache>
                <c:ptCount val="1"/>
                <c:pt idx="0">
                  <c:v>drewno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(Ciepło!$E$4,Ciepło!$E$11,Ciepło!$E$19)</c:f>
              <c:strCache>
                <c:ptCount val="3"/>
                <c:pt idx="0">
                  <c:v>2000</c:v>
                </c:pt>
                <c:pt idx="1">
                  <c:v>2013</c:v>
                </c:pt>
                <c:pt idx="2">
                  <c:v>2020 - Prognoza</c:v>
                </c:pt>
              </c:strCache>
            </c:strRef>
          </c:cat>
          <c:val>
            <c:numRef>
              <c:f>(Ciepło!$G$6,Ciepło!$G$13,Ciepło!$G$21)</c:f>
              <c:numCache>
                <c:formatCode>_(* #,##0.00_);_(* \(#,##0.00\);_(* "-"??_);_(@_)</c:formatCode>
                <c:ptCount val="3"/>
                <c:pt idx="0">
                  <c:v>14841.545399999999</c:v>
                </c:pt>
                <c:pt idx="1">
                  <c:v>18933.278039999997</c:v>
                </c:pt>
                <c:pt idx="2">
                  <c:v>20198.865959999999</c:v>
                </c:pt>
              </c:numCache>
            </c:numRef>
          </c:val>
        </c:ser>
        <c:ser>
          <c:idx val="3"/>
          <c:order val="2"/>
          <c:tx>
            <c:strRef>
              <c:f>Ciepło!$E$7</c:f>
              <c:strCache>
                <c:ptCount val="1"/>
                <c:pt idx="0">
                  <c:v>olej opałowy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(Ciepło!$E$4,Ciepło!$E$11,Ciepło!$E$19)</c:f>
              <c:strCache>
                <c:ptCount val="3"/>
                <c:pt idx="0">
                  <c:v>2000</c:v>
                </c:pt>
                <c:pt idx="1">
                  <c:v>2013</c:v>
                </c:pt>
                <c:pt idx="2">
                  <c:v>2020 - Prognoza</c:v>
                </c:pt>
              </c:strCache>
            </c:strRef>
          </c:cat>
          <c:val>
            <c:numRef>
              <c:f>(Ciepło!$G$7,Ciepło!$G$14,Ciepło!$G$22)</c:f>
              <c:numCache>
                <c:formatCode>_(* #,##0.00_);_(* \(#,##0.00\);_(* "-"??_);_(@_)</c:formatCode>
                <c:ptCount val="3"/>
                <c:pt idx="0">
                  <c:v>2473.5909000000001</c:v>
                </c:pt>
                <c:pt idx="1">
                  <c:v>3155.5463399999999</c:v>
                </c:pt>
                <c:pt idx="2">
                  <c:v>3366.47766</c:v>
                </c:pt>
              </c:numCache>
            </c:numRef>
          </c:val>
        </c:ser>
        <c:ser>
          <c:idx val="4"/>
          <c:order val="3"/>
          <c:tx>
            <c:strRef>
              <c:f>Ciepło!$E$8</c:f>
              <c:strCache>
                <c:ptCount val="1"/>
                <c:pt idx="0">
                  <c:v>gaz płynny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(Ciepło!$E$4,Ciepło!$E$11,Ciepło!$E$19)</c:f>
              <c:strCache>
                <c:ptCount val="3"/>
                <c:pt idx="0">
                  <c:v>2000</c:v>
                </c:pt>
                <c:pt idx="1">
                  <c:v>2013</c:v>
                </c:pt>
                <c:pt idx="2">
                  <c:v>2020 - Prognoza</c:v>
                </c:pt>
              </c:strCache>
            </c:strRef>
          </c:cat>
          <c:val>
            <c:numRef>
              <c:f>(Ciepło!$G$8,Ciepło!$G$15,Ciepło!$G$23)</c:f>
              <c:numCache>
                <c:formatCode>_(* #,##0.00_);_(* \(#,##0.00\);_(* "-"??_);_(@_)</c:formatCode>
                <c:ptCount val="3"/>
                <c:pt idx="0">
                  <c:v>1236.7954500000001</c:v>
                </c:pt>
                <c:pt idx="1">
                  <c:v>1577.7731699999999</c:v>
                </c:pt>
                <c:pt idx="2">
                  <c:v>1683.23883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68855928"/>
        <c:axId val="368861024"/>
      </c:barChart>
      <c:catAx>
        <c:axId val="368855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8861024"/>
        <c:crosses val="autoZero"/>
        <c:auto val="1"/>
        <c:lblAlgn val="ctr"/>
        <c:lblOffset val="100"/>
        <c:noMultiLvlLbl val="0"/>
      </c:catAx>
      <c:valAx>
        <c:axId val="36886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88559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Liczba </a:t>
            </a:r>
            <a:r>
              <a:rPr lang="pl-PL"/>
              <a:t>nowych mieszkań oddanych do użytku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7584140633602355E-2"/>
          <c:y val="0.21496557684961723"/>
          <c:w val="0.93473698922159654"/>
          <c:h val="0.5921700755355348"/>
        </c:manualLayout>
      </c:layout>
      <c:barChart>
        <c:barDir val="col"/>
        <c:grouping val="clustered"/>
        <c:varyColors val="0"/>
        <c:ser>
          <c:idx val="0"/>
          <c:order val="0"/>
          <c:tx>
            <c:v>Liczba nowych mieszkań</c:v>
          </c:tx>
          <c:spPr>
            <a:ln>
              <a:solidFill>
                <a:prstClr val="black"/>
              </a:solidFill>
            </a:ln>
          </c:spPr>
          <c:invertIfNegative val="0"/>
          <c:cat>
            <c:numRef>
              <c:f>Charakterystyka!$C$5:$Q$5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(Charakterystyka!$C$48:$P$48,Charakterystyka!$V$48)</c:f>
              <c:numCache>
                <c:formatCode>#,##0</c:formatCode>
                <c:ptCount val="1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13</c:v>
                </c:pt>
                <c:pt idx="5">
                  <c:v>9</c:v>
                </c:pt>
                <c:pt idx="6">
                  <c:v>4</c:v>
                </c:pt>
                <c:pt idx="7">
                  <c:v>12</c:v>
                </c:pt>
                <c:pt idx="8">
                  <c:v>14</c:v>
                </c:pt>
                <c:pt idx="9">
                  <c:v>8</c:v>
                </c:pt>
                <c:pt idx="10">
                  <c:v>13</c:v>
                </c:pt>
                <c:pt idx="11">
                  <c:v>14</c:v>
                </c:pt>
                <c:pt idx="12">
                  <c:v>16</c:v>
                </c:pt>
                <c:pt idx="13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850264"/>
        <c:axId val="310850656"/>
      </c:barChart>
      <c:catAx>
        <c:axId val="3108502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10850656"/>
        <c:crosses val="autoZero"/>
        <c:auto val="1"/>
        <c:lblAlgn val="ctr"/>
        <c:lblOffset val="100"/>
        <c:noMultiLvlLbl val="0"/>
      </c:catAx>
      <c:valAx>
        <c:axId val="310850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08502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Emisja generowana</a:t>
            </a:r>
            <a:r>
              <a:rPr lang="pl-PL" baseline="0"/>
              <a:t> przez</a:t>
            </a:r>
            <a:r>
              <a:rPr lang="pl-PL"/>
              <a:t> pokrycie zapotrzebowania na energię</a:t>
            </a:r>
            <a:r>
              <a:rPr lang="pl-PL" baseline="0"/>
              <a:t> cieplną</a:t>
            </a:r>
            <a:br>
              <a:rPr lang="pl-PL" baseline="0"/>
            </a:br>
            <a:r>
              <a:rPr lang="pl-PL" baseline="0"/>
              <a:t> [Mg CO</a:t>
            </a:r>
            <a:r>
              <a:rPr lang="pl-PL" baseline="-25000"/>
              <a:t>2</a:t>
            </a:r>
            <a:r>
              <a:rPr lang="pl-PL" baseline="0"/>
              <a:t>]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Ciepło!$E$5</c:f>
              <c:strCache>
                <c:ptCount val="1"/>
                <c:pt idx="0">
                  <c:v>paliwa stałe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('En. elektryczna'!$B$4,'En. elektryczna'!$B$8,'En. elektryczna'!$B$12:$C$12)</c:f>
              <c:strCache>
                <c:ptCount val="3"/>
                <c:pt idx="0">
                  <c:v>rok 2000</c:v>
                </c:pt>
                <c:pt idx="1">
                  <c:v>rok 2013</c:v>
                </c:pt>
                <c:pt idx="2">
                  <c:v>rok 2020 - prognoza</c:v>
                </c:pt>
              </c:strCache>
            </c:strRef>
          </c:cat>
          <c:val>
            <c:numRef>
              <c:f>(Ciepło!$J$5,Ciepło!$J$12,Ciepło!$J$20)</c:f>
              <c:numCache>
                <c:formatCode>_(* #,##0.00_);_(* \(#,##0.00\);_(* "-"??_);_(@_)</c:formatCode>
                <c:ptCount val="3"/>
                <c:pt idx="0">
                  <c:v>10302.5060985</c:v>
                </c:pt>
                <c:pt idx="1">
                  <c:v>13142.850506099998</c:v>
                </c:pt>
                <c:pt idx="2">
                  <c:v>14021.379453899999</c:v>
                </c:pt>
              </c:numCache>
            </c:numRef>
          </c:val>
        </c:ser>
        <c:ser>
          <c:idx val="2"/>
          <c:order val="2"/>
          <c:tx>
            <c:strRef>
              <c:f>Ciepło!$E$6</c:f>
              <c:strCache>
                <c:ptCount val="1"/>
                <c:pt idx="0">
                  <c:v>drewno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('En. elektryczna'!$B$4,'En. elektryczna'!$B$8,'En. elektryczna'!$B$12:$C$12)</c:f>
              <c:strCache>
                <c:ptCount val="3"/>
                <c:pt idx="0">
                  <c:v>rok 2000</c:v>
                </c:pt>
                <c:pt idx="1">
                  <c:v>rok 2013</c:v>
                </c:pt>
                <c:pt idx="2">
                  <c:v>rok 2020 - prognoza</c:v>
                </c:pt>
              </c:strCache>
            </c:strRef>
          </c:cat>
          <c:val>
            <c:numRef>
              <c:f>(Ciepło!$J$6,Ciepło!$J$13,Ciepło!$J$21)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Ciepło!$E$7</c:f>
              <c:strCache>
                <c:ptCount val="1"/>
                <c:pt idx="0">
                  <c:v>olej opałowy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('En. elektryczna'!$B$4,'En. elektryczna'!$B$8,'En. elektryczna'!$B$12:$C$12)</c:f>
              <c:strCache>
                <c:ptCount val="3"/>
                <c:pt idx="0">
                  <c:v>rok 2000</c:v>
                </c:pt>
                <c:pt idx="1">
                  <c:v>rok 2013</c:v>
                </c:pt>
                <c:pt idx="2">
                  <c:v>rok 2020 - prognoza</c:v>
                </c:pt>
              </c:strCache>
            </c:strRef>
          </c:cat>
          <c:val>
            <c:numRef>
              <c:f>(Ciepło!$J$7,Ciepło!$J$14,Ciepło!$J$22)</c:f>
              <c:numCache>
                <c:formatCode>_(* #,##0.00_);_(* \(#,##0.00\);_(* "-"??_);_(@_)</c:formatCode>
                <c:ptCount val="3"/>
                <c:pt idx="0">
                  <c:v>187.9929084</c:v>
                </c:pt>
                <c:pt idx="1">
                  <c:v>239.82152183999997</c:v>
                </c:pt>
                <c:pt idx="2">
                  <c:v>255.85230215999999</c:v>
                </c:pt>
              </c:numCache>
            </c:numRef>
          </c:val>
        </c:ser>
        <c:ser>
          <c:idx val="4"/>
          <c:order val="4"/>
          <c:tx>
            <c:strRef>
              <c:f>Ciepło!$E$8</c:f>
              <c:strCache>
                <c:ptCount val="1"/>
                <c:pt idx="0">
                  <c:v>gaz płynny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('En. elektryczna'!$B$4,'En. elektryczna'!$B$8,'En. elektryczna'!$B$12:$C$12)</c:f>
              <c:strCache>
                <c:ptCount val="3"/>
                <c:pt idx="0">
                  <c:v>rok 2000</c:v>
                </c:pt>
                <c:pt idx="1">
                  <c:v>rok 2013</c:v>
                </c:pt>
                <c:pt idx="2">
                  <c:v>rok 2020 - prognoza</c:v>
                </c:pt>
              </c:strCache>
            </c:strRef>
          </c:cat>
          <c:val>
            <c:numRef>
              <c:f>(Ciepło!$J$8,Ciepło!$J$15,Ciepło!$J$23)</c:f>
              <c:numCache>
                <c:formatCode>_(* #,##0.00_);_(* \(#,##0.00\);_(* "-"??_);_(@_)</c:formatCode>
                <c:ptCount val="3"/>
                <c:pt idx="0">
                  <c:v>68.023749750000007</c:v>
                </c:pt>
                <c:pt idx="1">
                  <c:v>86.777524349999993</c:v>
                </c:pt>
                <c:pt idx="2">
                  <c:v>92.578135650000007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68858672"/>
        <c:axId val="3688614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Ciepło!#REF!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('En. elektryczna'!$B$4,'En. elektryczna'!$B$8,'En. elektryczna'!$B$12:$C$12)</c15:sqref>
                        </c15:formulaRef>
                      </c:ext>
                    </c:extLst>
                    <c:strCache>
                      <c:ptCount val="3"/>
                      <c:pt idx="0">
                        <c:v>rok 2000</c:v>
                      </c:pt>
                      <c:pt idx="1">
                        <c:v>rok 2013</c:v>
                      </c:pt>
                      <c:pt idx="2">
                        <c:v>rok 2020 - prognoza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(Ciepło!#REF!,Ciepło!#REF!,Ciepło!#REF!)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68858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8861416"/>
        <c:crosses val="autoZero"/>
        <c:auto val="1"/>
        <c:lblAlgn val="ctr"/>
        <c:lblOffset val="100"/>
        <c:noMultiLvlLbl val="0"/>
      </c:catAx>
      <c:valAx>
        <c:axId val="36886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88586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Emisja</a:t>
            </a:r>
            <a:r>
              <a:rPr lang="pl-PL" baseline="0"/>
              <a:t> pyłów PM10 z gospodarstw domowych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('Ciepło - niska emisja'!$B$4,'Ciepło - niska emisja'!$B$11,'Ciepło - niska emisja'!$B$18)</c:f>
              <c:strCache>
                <c:ptCount val="3"/>
                <c:pt idx="0">
                  <c:v>ROK 2000</c:v>
                </c:pt>
                <c:pt idx="1">
                  <c:v>ROK 2013</c:v>
                </c:pt>
                <c:pt idx="2">
                  <c:v>ROK 2020</c:v>
                </c:pt>
              </c:strCache>
            </c:strRef>
          </c:cat>
          <c:val>
            <c:numRef>
              <c:f>('Ciepło - niska emisja'!$G$9,'Ciepło - niska emisja'!$G$16,'Ciepło - niska emisja'!$G$23)</c:f>
              <c:numCache>
                <c:formatCode>#,##0.00</c:formatCode>
                <c:ptCount val="3"/>
                <c:pt idx="0">
                  <c:v>42476.257304899998</c:v>
                </c:pt>
                <c:pt idx="1">
                  <c:v>54188.620554000008</c:v>
                </c:pt>
                <c:pt idx="2">
                  <c:v>57810.836586000005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862200"/>
        <c:axId val="368856712"/>
      </c:barChart>
      <c:catAx>
        <c:axId val="368862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8856712"/>
        <c:crosses val="autoZero"/>
        <c:auto val="1"/>
        <c:lblAlgn val="ctr"/>
        <c:lblOffset val="100"/>
        <c:noMultiLvlLbl val="0"/>
      </c:catAx>
      <c:valAx>
        <c:axId val="36885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Emisja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8862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Emisja</a:t>
            </a:r>
            <a:r>
              <a:rPr lang="pl-PL" baseline="0"/>
              <a:t> pyłów PM 2.5 z gospodarstw domowych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('Ciepło - niska emisja'!$B$4,'Ciepło - niska emisja'!$B$11,'Ciepło - niska emisja'!$B$18)</c:f>
              <c:strCache>
                <c:ptCount val="3"/>
                <c:pt idx="0">
                  <c:v>ROK 2000</c:v>
                </c:pt>
                <c:pt idx="1">
                  <c:v>ROK 2013</c:v>
                </c:pt>
                <c:pt idx="2">
                  <c:v>ROK 2020</c:v>
                </c:pt>
              </c:strCache>
            </c:strRef>
          </c:cat>
          <c:val>
            <c:numRef>
              <c:f>('Ciepło - niska emisja'!$H$9,'Ciepło - niska emisja'!$H$16,'Ciepło - niska emisja'!$H$23)</c:f>
              <c:numCache>
                <c:formatCode>#,##0.00</c:formatCode>
                <c:ptCount val="3"/>
                <c:pt idx="0">
                  <c:v>41845.4915999</c:v>
                </c:pt>
                <c:pt idx="1">
                  <c:v>53383.956222000008</c:v>
                </c:pt>
                <c:pt idx="2">
                  <c:v>56952.384798000006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859064"/>
        <c:axId val="368856320"/>
      </c:barChart>
      <c:catAx>
        <c:axId val="368859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8856320"/>
        <c:crosses val="autoZero"/>
        <c:auto val="1"/>
        <c:lblAlgn val="ctr"/>
        <c:lblOffset val="100"/>
        <c:noMultiLvlLbl val="0"/>
      </c:catAx>
      <c:valAx>
        <c:axId val="36885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Emisja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8859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Bilans emisji wg rodzajów paliw [Mg CO</a:t>
            </a:r>
            <a:r>
              <a:rPr lang="pl-PL" baseline="-25000"/>
              <a:t>2</a:t>
            </a:r>
            <a:r>
              <a:rPr lang="pl-PL"/>
              <a:t>]</a:t>
            </a:r>
            <a:endParaRPr lang="pl-PL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Bilans!$B$6</c:f>
              <c:strCache>
                <c:ptCount val="1"/>
                <c:pt idx="0">
                  <c:v>energia elektryczna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Bilans!$C$5:$E$5</c:f>
              <c:strCache>
                <c:ptCount val="3"/>
                <c:pt idx="0">
                  <c:v>2000</c:v>
                </c:pt>
                <c:pt idx="1">
                  <c:v>2013</c:v>
                </c:pt>
                <c:pt idx="2">
                  <c:v>2020 - prognoza</c:v>
                </c:pt>
              </c:strCache>
            </c:strRef>
          </c:cat>
          <c:val>
            <c:numRef>
              <c:f>Bilans!$C$6:$E$6</c:f>
              <c:numCache>
                <c:formatCode>#,##0.00</c:formatCode>
                <c:ptCount val="3"/>
                <c:pt idx="0">
                  <c:v>1585.357</c:v>
                </c:pt>
                <c:pt idx="1">
                  <c:v>4275.9605000000001</c:v>
                </c:pt>
                <c:pt idx="2">
                  <c:v>5145.5843834177858</c:v>
                </c:pt>
              </c:numCache>
            </c:numRef>
          </c:val>
        </c:ser>
        <c:ser>
          <c:idx val="1"/>
          <c:order val="2"/>
          <c:tx>
            <c:strRef>
              <c:f>Bilans!$B$7</c:f>
              <c:strCache>
                <c:ptCount val="1"/>
                <c:pt idx="0">
                  <c:v>paliwa transportowe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Bilans!$C$7:$E$7</c:f>
              <c:numCache>
                <c:formatCode>#,##0.00</c:formatCode>
                <c:ptCount val="3"/>
                <c:pt idx="0">
                  <c:v>14734.462750858882</c:v>
                </c:pt>
                <c:pt idx="1">
                  <c:v>23071.37960209608</c:v>
                </c:pt>
                <c:pt idx="2">
                  <c:v>24773.890250231001</c:v>
                </c:pt>
              </c:numCache>
            </c:numRef>
          </c:val>
        </c:ser>
        <c:ser>
          <c:idx val="2"/>
          <c:order val="3"/>
          <c:tx>
            <c:strRef>
              <c:f>Bilans!$B$8</c:f>
              <c:strCache>
                <c:ptCount val="1"/>
                <c:pt idx="0">
                  <c:v>paliwa opałowe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Bilans!$C$8:$E$8</c:f>
              <c:numCache>
                <c:formatCode>#,##0.00</c:formatCode>
                <c:ptCount val="3"/>
                <c:pt idx="0">
                  <c:v>10558.52275665</c:v>
                </c:pt>
                <c:pt idx="1">
                  <c:v>13469.449552289998</c:v>
                </c:pt>
                <c:pt idx="2">
                  <c:v>14369.809891709998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68858280"/>
        <c:axId val="368857888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Bilans!#REF!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Bilans!#REF!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68858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8857888"/>
        <c:crosses val="autoZero"/>
        <c:auto val="1"/>
        <c:lblAlgn val="ctr"/>
        <c:lblOffset val="100"/>
        <c:noMultiLvlLbl val="0"/>
      </c:catAx>
      <c:valAx>
        <c:axId val="36885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88582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Emisja roczna [Mg CO</a:t>
            </a:r>
            <a:r>
              <a:rPr lang="en-US" baseline="-25000"/>
              <a:t>2</a:t>
            </a:r>
            <a:r>
              <a:rPr lang="en-US"/>
              <a:t>]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Bilans!$B$18</c:f>
              <c:strCache>
                <c:ptCount val="1"/>
                <c:pt idx="0">
                  <c:v>Emisja roczna [Mg CO2]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Bilans!$C$17:$F$17</c:f>
              <c:strCache>
                <c:ptCount val="4"/>
                <c:pt idx="0">
                  <c:v>2000</c:v>
                </c:pt>
                <c:pt idx="1">
                  <c:v>2013</c:v>
                </c:pt>
                <c:pt idx="2">
                  <c:v>2020 - prognoza</c:v>
                </c:pt>
                <c:pt idx="3">
                  <c:v>2020 - prognoza, scenariusz niskoemisyjny</c:v>
                </c:pt>
              </c:strCache>
            </c:strRef>
          </c:cat>
          <c:val>
            <c:numRef>
              <c:f>Bilans!$C$18:$F$18</c:f>
              <c:numCache>
                <c:formatCode>#,##0.00</c:formatCode>
                <c:ptCount val="4"/>
                <c:pt idx="0">
                  <c:v>26878.342507508882</c:v>
                </c:pt>
                <c:pt idx="1">
                  <c:v>40816.789654386077</c:v>
                </c:pt>
                <c:pt idx="2">
                  <c:v>44289.284525358788</c:v>
                </c:pt>
                <c:pt idx="3">
                  <c:v>41715.754525358789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859848"/>
        <c:axId val="368860632"/>
      </c:lineChart>
      <c:catAx>
        <c:axId val="368859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8860632"/>
        <c:crosses val="autoZero"/>
        <c:auto val="1"/>
        <c:lblAlgn val="ctr"/>
        <c:lblOffset val="100"/>
        <c:noMultiLvlLbl val="0"/>
      </c:catAx>
      <c:valAx>
        <c:axId val="36886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8859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Roczna emisja na 1 mieszkańca [Mg CO</a:t>
            </a:r>
            <a:r>
              <a:rPr lang="en-US" baseline="-25000"/>
              <a:t>2</a:t>
            </a:r>
            <a:r>
              <a:rPr lang="en-US"/>
              <a:t>]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Bilans!$B$20</c:f>
              <c:strCache>
                <c:ptCount val="1"/>
                <c:pt idx="0">
                  <c:v>Roczna emisja na 1 mieszkańca [Mg CO2]</c:v>
                </c:pt>
              </c:strCache>
            </c:strRef>
          </c:tx>
          <c:invertIfNegative val="0"/>
          <c:cat>
            <c:strRef>
              <c:f>Bilans!$C$17:$F$17</c:f>
              <c:strCache>
                <c:ptCount val="4"/>
                <c:pt idx="0">
                  <c:v>2000</c:v>
                </c:pt>
                <c:pt idx="1">
                  <c:v>2013</c:v>
                </c:pt>
                <c:pt idx="2">
                  <c:v>2020 - prognoza</c:v>
                </c:pt>
                <c:pt idx="3">
                  <c:v>2020 - prognoza, scenariusz niskoemisyjny</c:v>
                </c:pt>
              </c:strCache>
            </c:strRef>
          </c:cat>
          <c:val>
            <c:numRef>
              <c:f>Bilans!$C$20:$F$20</c:f>
              <c:numCache>
                <c:formatCode>#,##0.00</c:formatCode>
                <c:ptCount val="4"/>
                <c:pt idx="0">
                  <c:v>4.2998468257093077</c:v>
                </c:pt>
                <c:pt idx="1">
                  <c:v>6.7099769282239157</c:v>
                </c:pt>
                <c:pt idx="2">
                  <c:v>7.4435772311527373</c:v>
                </c:pt>
                <c:pt idx="3">
                  <c:v>7.0110511807325695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862592"/>
        <c:axId val="368862984"/>
        <c:axId val="0"/>
      </c:bar3DChart>
      <c:catAx>
        <c:axId val="36886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8862984"/>
        <c:crosses val="autoZero"/>
        <c:auto val="1"/>
        <c:lblAlgn val="ctr"/>
        <c:lblOffset val="100"/>
        <c:noMultiLvlLbl val="0"/>
      </c:catAx>
      <c:valAx>
        <c:axId val="3688629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688625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Dobowa emisja na 1 mieszkańca [kg CO</a:t>
            </a:r>
            <a:r>
              <a:rPr lang="en-US" baseline="-25000"/>
              <a:t>2</a:t>
            </a:r>
            <a:r>
              <a:rPr lang="en-US"/>
              <a:t>]</a:t>
            </a:r>
          </a:p>
        </c:rich>
      </c:tx>
      <c:layout>
        <c:manualLayout>
          <c:xMode val="edge"/>
          <c:yMode val="edge"/>
          <c:x val="0.15455902454788828"/>
          <c:y val="2.416918429003020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Bilans!$B$21</c:f>
              <c:strCache>
                <c:ptCount val="1"/>
                <c:pt idx="0">
                  <c:v>Dobowa emisja na 1 mieszkańca [kg CO2]</c:v>
                </c:pt>
              </c:strCache>
            </c:strRef>
          </c:tx>
          <c:invertIfNegative val="0"/>
          <c:cat>
            <c:strRef>
              <c:f>Bilans!$C$17:$F$17</c:f>
              <c:strCache>
                <c:ptCount val="4"/>
                <c:pt idx="0">
                  <c:v>2000</c:v>
                </c:pt>
                <c:pt idx="1">
                  <c:v>2013</c:v>
                </c:pt>
                <c:pt idx="2">
                  <c:v>2020 - prognoza</c:v>
                </c:pt>
                <c:pt idx="3">
                  <c:v>2020 - prognoza, scenariusz niskoemisyjny</c:v>
                </c:pt>
              </c:strCache>
            </c:strRef>
          </c:cat>
          <c:val>
            <c:numRef>
              <c:f>Bilans!$C$21:$F$21</c:f>
              <c:numCache>
                <c:formatCode>#,##0.00</c:formatCode>
                <c:ptCount val="4"/>
                <c:pt idx="0">
                  <c:v>11.780402262217281</c:v>
                </c:pt>
                <c:pt idx="1">
                  <c:v>18.383498433490178</c:v>
                </c:pt>
                <c:pt idx="2">
                  <c:v>20.393362277130787</c:v>
                </c:pt>
                <c:pt idx="3">
                  <c:v>19.208359399267316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9689344"/>
        <c:axId val="369689736"/>
        <c:axId val="0"/>
      </c:bar3DChart>
      <c:catAx>
        <c:axId val="369689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9689736"/>
        <c:crosses val="autoZero"/>
        <c:auto val="1"/>
        <c:lblAlgn val="ctr"/>
        <c:lblOffset val="100"/>
        <c:noMultiLvlLbl val="0"/>
      </c:catAx>
      <c:valAx>
        <c:axId val="36968973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69689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Bilans emisji wg rodzajów paliw</a:t>
            </a:r>
            <a:r>
              <a:rPr lang="pl-PL"/>
              <a:t> w roku 2013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Bilans!$B$4</c:f>
              <c:strCache>
                <c:ptCount val="1"/>
                <c:pt idx="0">
                  <c:v>Bilans emisji wg rodzajów paliw [Mg CO2]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Bilans!$B$6:$B$8</c:f>
              <c:strCache>
                <c:ptCount val="3"/>
                <c:pt idx="0">
                  <c:v>energia elektryczna</c:v>
                </c:pt>
                <c:pt idx="1">
                  <c:v>paliwa transportowe</c:v>
                </c:pt>
                <c:pt idx="2">
                  <c:v>paliwa opałowe</c:v>
                </c:pt>
              </c:strCache>
            </c:strRef>
          </c:cat>
          <c:val>
            <c:numRef>
              <c:f>Bilans!$D$6:$D$8</c:f>
              <c:numCache>
                <c:formatCode>#,##0.00</c:formatCode>
                <c:ptCount val="3"/>
                <c:pt idx="0">
                  <c:v>4275.9605000000001</c:v>
                </c:pt>
                <c:pt idx="1">
                  <c:v>23071.37960209608</c:v>
                </c:pt>
                <c:pt idx="2">
                  <c:v>13469.449552289998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Bilans emisji wg rodzajów paliw</a:t>
            </a:r>
            <a:r>
              <a:rPr lang="pl-PL"/>
              <a:t> w roku 2000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Bilans!$B$4</c:f>
              <c:strCache>
                <c:ptCount val="1"/>
                <c:pt idx="0">
                  <c:v>Bilans emisji wg rodzajów paliw [Mg CO2]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Bilans!$B$6:$B$8</c:f>
              <c:strCache>
                <c:ptCount val="3"/>
                <c:pt idx="0">
                  <c:v>energia elektryczna</c:v>
                </c:pt>
                <c:pt idx="1">
                  <c:v>paliwa transportowe</c:v>
                </c:pt>
                <c:pt idx="2">
                  <c:v>paliwa opałowe</c:v>
                </c:pt>
              </c:strCache>
            </c:strRef>
          </c:cat>
          <c:val>
            <c:numRef>
              <c:f>Bilans!$C$6:$C$8</c:f>
              <c:numCache>
                <c:formatCode>#,##0.00</c:formatCode>
                <c:ptCount val="3"/>
                <c:pt idx="0">
                  <c:v>1585.357</c:v>
                </c:pt>
                <c:pt idx="1">
                  <c:v>14734.462750858882</c:v>
                </c:pt>
                <c:pt idx="2">
                  <c:v>10558.52275665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Bilans emisji wg rodzajów paliw</a:t>
            </a:r>
            <a:r>
              <a:rPr lang="pl-PL"/>
              <a:t> w roku 2020 - prognoza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Bilans!$B$4</c:f>
              <c:strCache>
                <c:ptCount val="1"/>
                <c:pt idx="0">
                  <c:v>Bilans emisji wg rodzajów paliw [Mg CO2]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Bilans!$B$6:$B$8</c:f>
              <c:strCache>
                <c:ptCount val="3"/>
                <c:pt idx="0">
                  <c:v>energia elektryczna</c:v>
                </c:pt>
                <c:pt idx="1">
                  <c:v>paliwa transportowe</c:v>
                </c:pt>
                <c:pt idx="2">
                  <c:v>paliwa opałowe</c:v>
                </c:pt>
              </c:strCache>
            </c:strRef>
          </c:cat>
          <c:val>
            <c:numRef>
              <c:f>Bilans!$E$6:$E$8</c:f>
              <c:numCache>
                <c:formatCode>#,##0.00</c:formatCode>
                <c:ptCount val="3"/>
                <c:pt idx="0">
                  <c:v>5145.5843834177858</c:v>
                </c:pt>
                <c:pt idx="1">
                  <c:v>24773.890250231001</c:v>
                </c:pt>
                <c:pt idx="2">
                  <c:v>14369.809891709998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Ogólna powierzchnia mieszkań na terenie gminy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Ogólna powierzchnia mieszkań [m2]</c:v>
          </c:tx>
          <c:spPr>
            <a:ln>
              <a:solidFill>
                <a:prstClr val="black"/>
              </a:solidFill>
            </a:ln>
          </c:spPr>
          <c:invertIfNegative val="0"/>
          <c:cat>
            <c:numRef>
              <c:f>Charakterystyka!$C$5:$Q$5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(Charakterystyka!$C$67:$P$67,Charakterystyka!$X$67)</c:f>
              <c:numCache>
                <c:formatCode>#,##0</c:formatCode>
                <c:ptCount val="15"/>
                <c:pt idx="0">
                  <c:v>150645</c:v>
                </c:pt>
                <c:pt idx="1">
                  <c:v>151224</c:v>
                </c:pt>
                <c:pt idx="2">
                  <c:v>172916</c:v>
                </c:pt>
                <c:pt idx="3">
                  <c:v>173943</c:v>
                </c:pt>
                <c:pt idx="4">
                  <c:v>175281</c:v>
                </c:pt>
                <c:pt idx="5">
                  <c:v>176187</c:v>
                </c:pt>
                <c:pt idx="6">
                  <c:v>176630</c:v>
                </c:pt>
                <c:pt idx="7">
                  <c:v>177972</c:v>
                </c:pt>
                <c:pt idx="8">
                  <c:v>179693</c:v>
                </c:pt>
                <c:pt idx="9">
                  <c:v>180806</c:v>
                </c:pt>
                <c:pt idx="10">
                  <c:v>186890</c:v>
                </c:pt>
                <c:pt idx="11">
                  <c:v>188791</c:v>
                </c:pt>
                <c:pt idx="12">
                  <c:v>190432</c:v>
                </c:pt>
                <c:pt idx="13">
                  <c:v>192177</c:v>
                </c:pt>
                <c:pt idx="14">
                  <c:v>194013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851832"/>
        <c:axId val="310849480"/>
      </c:barChart>
      <c:catAx>
        <c:axId val="3108518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10849480"/>
        <c:crosses val="autoZero"/>
        <c:auto val="1"/>
        <c:lblAlgn val="ctr"/>
        <c:lblOffset val="100"/>
        <c:noMultiLvlLbl val="0"/>
      </c:catAx>
      <c:valAx>
        <c:axId val="3108494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0851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Średnia powierzchnia mieszkań na terenie gminy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Średnia powierzchnia mieszkań [m2]</c:v>
          </c:tx>
          <c:spPr>
            <a:ln>
              <a:solidFill>
                <a:prstClr val="black"/>
              </a:solidFill>
            </a:ln>
          </c:spPr>
          <c:invertIfNegative val="0"/>
          <c:cat>
            <c:numRef>
              <c:f>Charakterystyka!$E$5:$Q$5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(Charakterystyka!$E$86:$P$86,Charakterystyka!$X$86)</c:f>
              <c:numCache>
                <c:formatCode>#\ ##0.0</c:formatCode>
                <c:ptCount val="13"/>
                <c:pt idx="0">
                  <c:v>87.6</c:v>
                </c:pt>
                <c:pt idx="1">
                  <c:v>87.9</c:v>
                </c:pt>
                <c:pt idx="2">
                  <c:v>88.2</c:v>
                </c:pt>
                <c:pt idx="3">
                  <c:v>88.4</c:v>
                </c:pt>
                <c:pt idx="4">
                  <c:v>88.5</c:v>
                </c:pt>
                <c:pt idx="5">
                  <c:v>88.8</c:v>
                </c:pt>
                <c:pt idx="6">
                  <c:v>89.2</c:v>
                </c:pt>
                <c:pt idx="7">
                  <c:v>89.4</c:v>
                </c:pt>
                <c:pt idx="8">
                  <c:v>93.8</c:v>
                </c:pt>
                <c:pt idx="9">
                  <c:v>94.2</c:v>
                </c:pt>
                <c:pt idx="10">
                  <c:v>94.4</c:v>
                </c:pt>
                <c:pt idx="11">
                  <c:v>94.7</c:v>
                </c:pt>
                <c:pt idx="12">
                  <c:v>95.057814796668296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847128"/>
        <c:axId val="310852224"/>
      </c:barChart>
      <c:catAx>
        <c:axId val="3108471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10852224"/>
        <c:crosses val="autoZero"/>
        <c:auto val="1"/>
        <c:lblAlgn val="ctr"/>
        <c:lblOffset val="100"/>
        <c:noMultiLvlLbl val="0"/>
      </c:catAx>
      <c:valAx>
        <c:axId val="310852224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3108471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Ilość podmiotów gospodarczych zarejestrowanych na terenie gminy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Zarejestrowane podmioty gospodarcze</c:v>
          </c:tx>
          <c:spPr>
            <a:ln>
              <a:solidFill>
                <a:prstClr val="black"/>
              </a:solidFill>
            </a:ln>
          </c:spPr>
          <c:invertIfNegative val="0"/>
          <c:cat>
            <c:numRef>
              <c:f>Charakterystyka!$E$5:$Q$5</c:f>
              <c:numCache>
                <c:formatCode>0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(Charakterystyka!$E$105:$P$105,Charakterystyka!$X$105)</c:f>
              <c:numCache>
                <c:formatCode>#,##0</c:formatCode>
                <c:ptCount val="13"/>
                <c:pt idx="0">
                  <c:v>397</c:v>
                </c:pt>
                <c:pt idx="1">
                  <c:v>389</c:v>
                </c:pt>
                <c:pt idx="2">
                  <c:v>361</c:v>
                </c:pt>
                <c:pt idx="3">
                  <c:v>351</c:v>
                </c:pt>
                <c:pt idx="4">
                  <c:v>355</c:v>
                </c:pt>
                <c:pt idx="5">
                  <c:v>360</c:v>
                </c:pt>
                <c:pt idx="6">
                  <c:v>357</c:v>
                </c:pt>
                <c:pt idx="7">
                  <c:v>336</c:v>
                </c:pt>
                <c:pt idx="8">
                  <c:v>370</c:v>
                </c:pt>
                <c:pt idx="9">
                  <c:v>387</c:v>
                </c:pt>
                <c:pt idx="10">
                  <c:v>411</c:v>
                </c:pt>
                <c:pt idx="11">
                  <c:v>433</c:v>
                </c:pt>
                <c:pt idx="12">
                  <c:v>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751296"/>
        <c:axId val="366749336"/>
      </c:barChart>
      <c:catAx>
        <c:axId val="3667512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66749336"/>
        <c:crosses val="autoZero"/>
        <c:auto val="1"/>
        <c:lblAlgn val="ctr"/>
        <c:lblOffset val="100"/>
        <c:noMultiLvlLbl val="0"/>
      </c:catAx>
      <c:valAx>
        <c:axId val="3667493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6751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Prognoza</a:t>
            </a:r>
            <a:r>
              <a:rPr lang="pl-PL" baseline="0"/>
              <a:t> liczby mieszkańców</a:t>
            </a:r>
            <a:endParaRPr lang="pl-PL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Charakterystyka!$V$7</c:f>
              <c:strCache>
                <c:ptCount val="1"/>
                <c:pt idx="0">
                  <c:v>Prognoza liczby mieszkańców</c:v>
                </c:pt>
              </c:strCache>
            </c:strRef>
          </c:tx>
          <c:spPr>
            <a:ln w="31750" cmpd="sng">
              <a:solidFill>
                <a:schemeClr val="accent1"/>
              </a:solidFill>
              <a:prstDash val="sysDash"/>
              <a:tailEnd type="none"/>
            </a:ln>
            <a:effectLst/>
          </c:spPr>
          <c:marker>
            <c:symbol val="none"/>
          </c:marker>
          <c:cat>
            <c:numRef>
              <c:f>Charakterystyka!$C$5:$W$5</c:f>
              <c:numCache>
                <c:formatCode>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(Charakterystyka!$C$10:$O$10,Charakterystyka!$P$9,Charakterystyka!$X$9:$AD$9)</c:f>
              <c:numCache>
                <c:formatCode>General</c:formatCode>
                <c:ptCount val="21"/>
                <c:pt idx="13" formatCode="#,##0">
                  <c:v>6088</c:v>
                </c:pt>
                <c:pt idx="14" formatCode="#,##0">
                  <c:v>6022</c:v>
                </c:pt>
                <c:pt idx="15" formatCode="#,##0">
                  <c:v>6010</c:v>
                </c:pt>
                <c:pt idx="16" formatCode="#,##0">
                  <c:v>5998</c:v>
                </c:pt>
                <c:pt idx="17" formatCode="#,##0">
                  <c:v>5986</c:v>
                </c:pt>
                <c:pt idx="18" formatCode="#,##0">
                  <c:v>5974</c:v>
                </c:pt>
                <c:pt idx="19" formatCode="#,##0">
                  <c:v>5962</c:v>
                </c:pt>
                <c:pt idx="20" formatCode="#,##0">
                  <c:v>5950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Charakterystyka!$B$7</c:f>
              <c:strCache>
                <c:ptCount val="1"/>
                <c:pt idx="0">
                  <c:v>Liczba mieszkańców</c:v>
                </c:pt>
              </c:strCache>
            </c:strRef>
          </c:tx>
          <c:spPr>
            <a:ln w="31750" cap="rnd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Charakterystyka!$C$5:$W$5</c:f>
              <c:numCache>
                <c:formatCode>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Charakterystyka!$C$9:$P$9</c:f>
              <c:numCache>
                <c:formatCode>#,##0</c:formatCode>
                <c:ptCount val="14"/>
                <c:pt idx="0">
                  <c:v>6251</c:v>
                </c:pt>
                <c:pt idx="1">
                  <c:v>6294</c:v>
                </c:pt>
                <c:pt idx="2">
                  <c:v>6274</c:v>
                </c:pt>
                <c:pt idx="3">
                  <c:v>6229</c:v>
                </c:pt>
                <c:pt idx="4">
                  <c:v>6208</c:v>
                </c:pt>
                <c:pt idx="5">
                  <c:v>6188</c:v>
                </c:pt>
                <c:pt idx="6">
                  <c:v>6160</c:v>
                </c:pt>
                <c:pt idx="7">
                  <c:v>6160</c:v>
                </c:pt>
                <c:pt idx="8">
                  <c:v>6139</c:v>
                </c:pt>
                <c:pt idx="9">
                  <c:v>6094</c:v>
                </c:pt>
                <c:pt idx="10">
                  <c:v>6108</c:v>
                </c:pt>
                <c:pt idx="11">
                  <c:v>6068</c:v>
                </c:pt>
                <c:pt idx="12">
                  <c:v>6083</c:v>
                </c:pt>
                <c:pt idx="13">
                  <c:v>6088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750904"/>
        <c:axId val="366754040"/>
      </c:lineChart>
      <c:catAx>
        <c:axId val="3667509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66754040"/>
        <c:crosses val="autoZero"/>
        <c:auto val="1"/>
        <c:lblAlgn val="ctr"/>
        <c:lblOffset val="100"/>
        <c:tickLblSkip val="2"/>
        <c:noMultiLvlLbl val="0"/>
      </c:catAx>
      <c:valAx>
        <c:axId val="36675404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675090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Liczba </a:t>
            </a:r>
            <a:r>
              <a:rPr lang="pl-PL"/>
              <a:t>mieszkań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Liczba mieszkań</c:v>
          </c:tx>
          <c:spPr>
            <a:gradFill flip="none" rotWithShape="1">
              <a:gsLst>
                <a:gs pos="0">
                  <a:schemeClr val="accent1">
                    <a:lumMod val="60000"/>
                    <a:lumOff val="40000"/>
                    <a:shade val="30000"/>
                    <a:satMod val="115000"/>
                  </a:schemeClr>
                </a:gs>
                <a:gs pos="50000">
                  <a:schemeClr val="accent1">
                    <a:lumMod val="60000"/>
                    <a:lumOff val="40000"/>
                    <a:shade val="67500"/>
                    <a:satMod val="115000"/>
                  </a:schemeClr>
                </a:gs>
                <a:gs pos="100000">
                  <a:schemeClr val="accent1">
                    <a:lumMod val="60000"/>
                    <a:lumOff val="40000"/>
                    <a:shade val="100000"/>
                    <a:satMod val="115000"/>
                  </a:schemeClr>
                </a:gs>
              </a:gsLst>
              <a:path path="circle">
                <a:fillToRect l="100000" t="100000"/>
              </a:path>
              <a:tileRect r="-100000" b="-100000"/>
            </a:gradFill>
            <a:ln>
              <a:solidFill>
                <a:prstClr val="black"/>
              </a:solidFill>
            </a:ln>
          </c:spPr>
          <c:invertIfNegative val="0"/>
          <c:cat>
            <c:numRef>
              <c:f>Charakterystyka!$C$5:$Q$5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(Charakterystyka!$C$28:$P$28,Charakterystyka!$X$28)</c:f>
              <c:numCache>
                <c:formatCode>#,##0</c:formatCode>
                <c:ptCount val="15"/>
                <c:pt idx="0">
                  <c:v>2038</c:v>
                </c:pt>
                <c:pt idx="1">
                  <c:v>2041</c:v>
                </c:pt>
                <c:pt idx="2">
                  <c:v>1973</c:v>
                </c:pt>
                <c:pt idx="3">
                  <c:v>1980</c:v>
                </c:pt>
                <c:pt idx="4">
                  <c:v>1988</c:v>
                </c:pt>
                <c:pt idx="5">
                  <c:v>1993</c:v>
                </c:pt>
                <c:pt idx="6">
                  <c:v>1995</c:v>
                </c:pt>
                <c:pt idx="7">
                  <c:v>2005</c:v>
                </c:pt>
                <c:pt idx="8">
                  <c:v>2015</c:v>
                </c:pt>
                <c:pt idx="9">
                  <c:v>2022</c:v>
                </c:pt>
                <c:pt idx="10">
                  <c:v>1992</c:v>
                </c:pt>
                <c:pt idx="11">
                  <c:v>2005</c:v>
                </c:pt>
                <c:pt idx="12">
                  <c:v>2017</c:v>
                </c:pt>
                <c:pt idx="13">
                  <c:v>2029</c:v>
                </c:pt>
                <c:pt idx="14">
                  <c:v>2041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751688"/>
        <c:axId val="366752080"/>
      </c:barChart>
      <c:catAx>
        <c:axId val="3667516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66752080"/>
        <c:crosses val="autoZero"/>
        <c:auto val="1"/>
        <c:lblAlgn val="ctr"/>
        <c:lblOffset val="100"/>
        <c:noMultiLvlLbl val="0"/>
      </c:catAx>
      <c:valAx>
        <c:axId val="366752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67516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Prognoza</a:t>
            </a:r>
            <a:r>
              <a:rPr lang="pl-PL" baseline="0"/>
              <a:t> liczby mieszkań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Charakterystyka!$V$26</c:f>
              <c:strCache>
                <c:ptCount val="1"/>
                <c:pt idx="0">
                  <c:v>Prognoza liczby mieszkań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Charakterystyka!$C$5:$W$5</c:f>
              <c:numCache>
                <c:formatCode>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(Charakterystyka!$C$29:$O$29,Charakterystyka!$P$28,Charakterystyka!$X$28:$AD$28)</c:f>
              <c:numCache>
                <c:formatCode>General</c:formatCode>
                <c:ptCount val="21"/>
                <c:pt idx="13" formatCode="#,##0">
                  <c:v>2029</c:v>
                </c:pt>
                <c:pt idx="14" formatCode="#,##0">
                  <c:v>2041</c:v>
                </c:pt>
                <c:pt idx="15" formatCode="#,##0">
                  <c:v>2052.6999999999998</c:v>
                </c:pt>
                <c:pt idx="16" formatCode="#,##0">
                  <c:v>2064.3999999999996</c:v>
                </c:pt>
                <c:pt idx="17" formatCode="#,##0">
                  <c:v>2076.0999999999995</c:v>
                </c:pt>
                <c:pt idx="18" formatCode="#,##0">
                  <c:v>2087.7999999999993</c:v>
                </c:pt>
                <c:pt idx="19" formatCode="#,##0">
                  <c:v>2099.4999999999991</c:v>
                </c:pt>
                <c:pt idx="20" formatCode="#,##0">
                  <c:v>2111.1999999999989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Charakterystyka!$B$26</c:f>
              <c:strCache>
                <c:ptCount val="1"/>
                <c:pt idx="0">
                  <c:v>Liczba mieszkań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Charakterystyka!$C$5:$W$5</c:f>
              <c:numCache>
                <c:formatCode>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Charakterystyka!$C$28:$P$28</c:f>
              <c:numCache>
                <c:formatCode>#,##0</c:formatCode>
                <c:ptCount val="14"/>
                <c:pt idx="0">
                  <c:v>2038</c:v>
                </c:pt>
                <c:pt idx="1">
                  <c:v>2041</c:v>
                </c:pt>
                <c:pt idx="2">
                  <c:v>1973</c:v>
                </c:pt>
                <c:pt idx="3">
                  <c:v>1980</c:v>
                </c:pt>
                <c:pt idx="4">
                  <c:v>1988</c:v>
                </c:pt>
                <c:pt idx="5">
                  <c:v>1993</c:v>
                </c:pt>
                <c:pt idx="6">
                  <c:v>1995</c:v>
                </c:pt>
                <c:pt idx="7">
                  <c:v>2005</c:v>
                </c:pt>
                <c:pt idx="8">
                  <c:v>2015</c:v>
                </c:pt>
                <c:pt idx="9">
                  <c:v>2022</c:v>
                </c:pt>
                <c:pt idx="10">
                  <c:v>1992</c:v>
                </c:pt>
                <c:pt idx="11">
                  <c:v>2005</c:v>
                </c:pt>
                <c:pt idx="12">
                  <c:v>2017</c:v>
                </c:pt>
                <c:pt idx="13">
                  <c:v>2029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746984"/>
        <c:axId val="366752864"/>
      </c:lineChart>
      <c:catAx>
        <c:axId val="3667469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6752864"/>
        <c:crosses val="autoZero"/>
        <c:auto val="1"/>
        <c:lblAlgn val="ctr"/>
        <c:lblOffset val="100"/>
        <c:tickLblSkip val="2"/>
        <c:noMultiLvlLbl val="0"/>
      </c:catAx>
      <c:valAx>
        <c:axId val="3667528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67469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Prognoza</a:t>
            </a:r>
            <a:r>
              <a:rPr lang="pl-PL" baseline="0"/>
              <a:t> powierzchni mieszkań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Charakterystyka!$V$65</c:f>
              <c:strCache>
                <c:ptCount val="1"/>
                <c:pt idx="0">
                  <c:v>Prognoza ogólnej powierzchni mieszkań [m2]</c:v>
                </c:pt>
              </c:strCache>
            </c:strRef>
          </c:tx>
          <c:spPr>
            <a:ln w="31750" cmpd="sng">
              <a:solidFill>
                <a:schemeClr val="accent5"/>
              </a:solidFill>
              <a:prstDash val="sysDash"/>
              <a:tailEnd type="none"/>
            </a:ln>
            <a:effectLst/>
          </c:spPr>
          <c:marker>
            <c:symbol val="none"/>
          </c:marker>
          <c:cat>
            <c:numRef>
              <c:f>Charakterystyka!$C$5:$W$5</c:f>
              <c:numCache>
                <c:formatCode>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(Charakterystyka!$C$68:$O$68,Charakterystyka!$P$67,Charakterystyka!$X$67:$AD$67)</c:f>
              <c:numCache>
                <c:formatCode>General</c:formatCode>
                <c:ptCount val="21"/>
                <c:pt idx="13" formatCode="#,##0">
                  <c:v>192177</c:v>
                </c:pt>
                <c:pt idx="14" formatCode="#,##0">
                  <c:v>194013</c:v>
                </c:pt>
                <c:pt idx="15" formatCode="#,##0">
                  <c:v>195806</c:v>
                </c:pt>
                <c:pt idx="16" formatCode="#,##0">
                  <c:v>197616</c:v>
                </c:pt>
                <c:pt idx="17" formatCode="#,##0">
                  <c:v>199442</c:v>
                </c:pt>
                <c:pt idx="18" formatCode="#,##0">
                  <c:v>201285</c:v>
                </c:pt>
                <c:pt idx="19" formatCode="#,##0">
                  <c:v>203145</c:v>
                </c:pt>
                <c:pt idx="20" formatCode="#,##0">
                  <c:v>205023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Charakterystyka!$B$65</c:f>
              <c:strCache>
                <c:ptCount val="1"/>
                <c:pt idx="0">
                  <c:v>Ogólna powierzchnia mieszkań [m2]</c:v>
                </c:pt>
              </c:strCache>
            </c:strRef>
          </c:tx>
          <c:spPr>
            <a:ln w="31750" cap="rnd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Charakterystyka!$C$5:$W$5</c:f>
              <c:numCache>
                <c:formatCode>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Charakterystyka!$C$67:$P$67</c:f>
              <c:numCache>
                <c:formatCode>#,##0</c:formatCode>
                <c:ptCount val="14"/>
                <c:pt idx="0">
                  <c:v>150645</c:v>
                </c:pt>
                <c:pt idx="1">
                  <c:v>151224</c:v>
                </c:pt>
                <c:pt idx="2">
                  <c:v>172916</c:v>
                </c:pt>
                <c:pt idx="3">
                  <c:v>173943</c:v>
                </c:pt>
                <c:pt idx="4">
                  <c:v>175281</c:v>
                </c:pt>
                <c:pt idx="5">
                  <c:v>176187</c:v>
                </c:pt>
                <c:pt idx="6">
                  <c:v>176630</c:v>
                </c:pt>
                <c:pt idx="7">
                  <c:v>177972</c:v>
                </c:pt>
                <c:pt idx="8">
                  <c:v>179693</c:v>
                </c:pt>
                <c:pt idx="9">
                  <c:v>180806</c:v>
                </c:pt>
                <c:pt idx="10">
                  <c:v>186890</c:v>
                </c:pt>
                <c:pt idx="11">
                  <c:v>188791</c:v>
                </c:pt>
                <c:pt idx="12">
                  <c:v>190432</c:v>
                </c:pt>
                <c:pt idx="13">
                  <c:v>192177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748944"/>
        <c:axId val="366753256"/>
      </c:lineChart>
      <c:catAx>
        <c:axId val="3667489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366753256"/>
        <c:crosses val="autoZero"/>
        <c:auto val="1"/>
        <c:lblAlgn val="ctr"/>
        <c:lblOffset val="100"/>
        <c:tickLblSkip val="2"/>
        <c:noMultiLvlLbl val="0"/>
      </c:catAx>
      <c:valAx>
        <c:axId val="3667532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67489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9</xdr:row>
      <xdr:rowOff>85725</xdr:rowOff>
    </xdr:from>
    <xdr:to>
      <xdr:col>12</xdr:col>
      <xdr:colOff>470057</xdr:colOff>
      <xdr:row>24</xdr:row>
      <xdr:rowOff>225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12</xdr:col>
      <xdr:colOff>479583</xdr:colOff>
      <xdr:row>63</xdr:row>
      <xdr:rowOff>105000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12</xdr:col>
      <xdr:colOff>479583</xdr:colOff>
      <xdr:row>82</xdr:row>
      <xdr:rowOff>105000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86</xdr:row>
      <xdr:rowOff>114300</xdr:rowOff>
    </xdr:from>
    <xdr:to>
      <xdr:col>12</xdr:col>
      <xdr:colOff>479583</xdr:colOff>
      <xdr:row>101</xdr:row>
      <xdr:rowOff>28800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106</xdr:row>
      <xdr:rowOff>0</xdr:rowOff>
    </xdr:from>
    <xdr:to>
      <xdr:col>12</xdr:col>
      <xdr:colOff>479583</xdr:colOff>
      <xdr:row>120</xdr:row>
      <xdr:rowOff>105000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111502</xdr:colOff>
      <xdr:row>9</xdr:row>
      <xdr:rowOff>99785</xdr:rowOff>
    </xdr:from>
    <xdr:to>
      <xdr:col>29</xdr:col>
      <xdr:colOff>432335</xdr:colOff>
      <xdr:row>24</xdr:row>
      <xdr:rowOff>14285</xdr:rowOff>
    </xdr:to>
    <xdr:graphicFrame macro="">
      <xdr:nvGraphicFramePr>
        <xdr:cNvPr id="15" name="Wykres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479583</xdr:colOff>
      <xdr:row>43</xdr:row>
      <xdr:rowOff>105000</xdr:rowOff>
    </xdr:to>
    <xdr:graphicFrame macro="">
      <xdr:nvGraphicFramePr>
        <xdr:cNvPr id="21" name="Wykres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168653</xdr:colOff>
      <xdr:row>29</xdr:row>
      <xdr:rowOff>37872</xdr:rowOff>
    </xdr:from>
    <xdr:to>
      <xdr:col>29</xdr:col>
      <xdr:colOff>489486</xdr:colOff>
      <xdr:row>43</xdr:row>
      <xdr:rowOff>142872</xdr:rowOff>
    </xdr:to>
    <xdr:graphicFrame macro="">
      <xdr:nvGraphicFramePr>
        <xdr:cNvPr id="22" name="Wykres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68</xdr:row>
      <xdr:rowOff>0</xdr:rowOff>
    </xdr:from>
    <xdr:to>
      <xdr:col>29</xdr:col>
      <xdr:colOff>320833</xdr:colOff>
      <xdr:row>82</xdr:row>
      <xdr:rowOff>105000</xdr:rowOff>
    </xdr:to>
    <xdr:graphicFrame macro="">
      <xdr:nvGraphicFramePr>
        <xdr:cNvPr id="23" name="Wykres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86</xdr:row>
      <xdr:rowOff>81643</xdr:rowOff>
    </xdr:from>
    <xdr:to>
      <xdr:col>29</xdr:col>
      <xdr:colOff>320833</xdr:colOff>
      <xdr:row>100</xdr:row>
      <xdr:rowOff>186643</xdr:rowOff>
    </xdr:to>
    <xdr:graphicFrame macro="">
      <xdr:nvGraphicFramePr>
        <xdr:cNvPr id="24" name="Wykres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106</xdr:row>
      <xdr:rowOff>0</xdr:rowOff>
    </xdr:from>
    <xdr:to>
      <xdr:col>29</xdr:col>
      <xdr:colOff>320833</xdr:colOff>
      <xdr:row>120</xdr:row>
      <xdr:rowOff>105000</xdr:rowOff>
    </xdr:to>
    <xdr:graphicFrame macro="">
      <xdr:nvGraphicFramePr>
        <xdr:cNvPr id="25" name="Wykres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74086</xdr:colOff>
      <xdr:row>2</xdr:row>
      <xdr:rowOff>105833</xdr:rowOff>
    </xdr:from>
    <xdr:to>
      <xdr:col>10</xdr:col>
      <xdr:colOff>1255185</xdr:colOff>
      <xdr:row>17</xdr:row>
      <xdr:rowOff>191557</xdr:rowOff>
    </xdr:to>
    <xdr:sp macro="" textlink="">
      <xdr:nvSpPr>
        <xdr:cNvPr id="2" name="pole tekstowe 1"/>
        <xdr:cNvSpPr txBox="1"/>
      </xdr:nvSpPr>
      <xdr:spPr>
        <a:xfrm>
          <a:off x="5302253" y="539750"/>
          <a:ext cx="3901015" cy="3197224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sng" baseline="0"/>
            <a:t>Metodologia prognozy:</a:t>
          </a:r>
        </a:p>
        <a:p>
          <a:endParaRPr lang="pl-PL" sz="1100" u="sng"/>
        </a:p>
        <a:p>
          <a:pPr algn="l"/>
          <a:r>
            <a:rPr lang="pl-PL" sz="1100" b="0"/>
            <a:t>Prognoza</a:t>
          </a:r>
          <a:r>
            <a:rPr lang="pl-PL" sz="1100" b="0" baseline="0"/>
            <a:t> zużycia energii  została przeprowadzona w oparciu o </a:t>
          </a:r>
          <a:r>
            <a:rPr lang="pl-PL" sz="1100" b="1"/>
            <a:t>Politykę energetyczną Polski do 2030 roku </a:t>
          </a:r>
          <a:r>
            <a:rPr lang="pl-PL" sz="1100" b="0"/>
            <a:t>stanowiącą załącznik do uchwały nr 202/2009  Rady Ministrów z dnia 10 listopada 2009 r. W</a:t>
          </a:r>
          <a:r>
            <a:rPr lang="pl-PL" sz="1100" b="0" baseline="0"/>
            <a:t> dokumencie tym oszacowano średnioroczny wzrost zapotrzenowania na  energię</a:t>
          </a:r>
          <a:r>
            <a:rPr lang="pl-PL" sz="1100" baseline="0"/>
            <a:t> elektryczną  jako 2,68% rocznie. </a:t>
          </a:r>
        </a:p>
        <a:p>
          <a:endParaRPr lang="pl-PL" sz="900" i="1" baseline="0"/>
        </a:p>
        <a:p>
          <a:r>
            <a:rPr lang="pl-PL" sz="900" i="1" baseline="0"/>
            <a:t>Źródła:</a:t>
          </a:r>
        </a:p>
        <a:p>
          <a:r>
            <a:rPr lang="pl-PL" sz="900" i="1" baseline="0"/>
            <a:t>1. Jak osiągnąć bezpieczeństwo energetyczne UE racjonalizując wysokość nakładów inwestycyjnych, kosztów społecznych i środowiskowych?, Prof. Władysław Mielczarski - Politechnika Łódzka, European Energy Institute, Centrum Informacji o Rynku Energii. </a:t>
          </a:r>
        </a:p>
        <a:p>
          <a:endParaRPr lang="pl-PL" sz="900" i="1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6</xdr:col>
      <xdr:colOff>201300</xdr:colOff>
      <xdr:row>20</xdr:row>
      <xdr:rowOff>1500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3</xdr:row>
      <xdr:rowOff>0</xdr:rowOff>
    </xdr:from>
    <xdr:to>
      <xdr:col>11</xdr:col>
      <xdr:colOff>1001400</xdr:colOff>
      <xdr:row>20</xdr:row>
      <xdr:rowOff>1500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20</xdr:row>
      <xdr:rowOff>76200</xdr:rowOff>
    </xdr:from>
    <xdr:to>
      <xdr:col>6</xdr:col>
      <xdr:colOff>190500</xdr:colOff>
      <xdr:row>37</xdr:row>
      <xdr:rowOff>77700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268940</xdr:colOff>
      <xdr:row>3</xdr:row>
      <xdr:rowOff>3</xdr:rowOff>
    </xdr:from>
    <xdr:to>
      <xdr:col>14</xdr:col>
      <xdr:colOff>952500</xdr:colOff>
      <xdr:row>21</xdr:row>
      <xdr:rowOff>56030</xdr:rowOff>
    </xdr:to>
    <xdr:sp macro="" textlink="">
      <xdr:nvSpPr>
        <xdr:cNvPr id="2" name="pole tekstowe 1"/>
        <xdr:cNvSpPr txBox="1"/>
      </xdr:nvSpPr>
      <xdr:spPr>
        <a:xfrm>
          <a:off x="12091146" y="644341"/>
          <a:ext cx="2140325" cy="4202204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u="sng" baseline="0"/>
            <a:t>Metodologia prognozy:</a:t>
          </a:r>
        </a:p>
        <a:p>
          <a:endParaRPr lang="pl-PL" sz="1100" u="sng"/>
        </a:p>
        <a:p>
          <a:pPr algn="l"/>
          <a:r>
            <a:rPr lang="pl-PL" sz="1100" b="0"/>
            <a:t>Prognoza</a:t>
          </a:r>
          <a:r>
            <a:rPr lang="pl-PL" sz="1100" b="0" baseline="0"/>
            <a:t> natężenia ruchu na drogach tranzytowych została przeprowadzona w oparciu o </a:t>
          </a:r>
          <a:r>
            <a:rPr lang="pl-PL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z</a:t>
          </a:r>
          <a:r>
            <a:rPr lang="pl-PL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asady prognozowania wskaźników wzrostu ruchu wewnętrznego na okres 2008-2040 na sieci drogowej do celów planistyczno-projektowych, </a:t>
          </a:r>
          <a:r>
            <a:rPr lang="pl-PL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stanowiący załącznik numer 2 do opracowania pn. </a:t>
          </a:r>
          <a:r>
            <a:rPr lang="pl-PL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Stadia i skład dokumentacji projektowej dla dróg i mostów w fazie przygotowania zadań.</a:t>
          </a:r>
          <a:r>
            <a:rPr lang="pl-PL" sz="1100" b="0"/>
            <a:t> </a:t>
          </a:r>
        </a:p>
        <a:p>
          <a:pPr algn="l"/>
          <a:endParaRPr lang="pl-PL" sz="900" i="1" baseline="0"/>
        </a:p>
        <a:p>
          <a:r>
            <a:rPr lang="pl-PL" sz="900" i="1" baseline="0"/>
            <a:t>Źródła:</a:t>
          </a:r>
        </a:p>
        <a:p>
          <a:r>
            <a:rPr lang="pl-PL" sz="900" i="1" baseline="0"/>
            <a:t>1. Generalny Pomiar Ruchu 2010 r.,</a:t>
          </a:r>
        </a:p>
        <a:p>
          <a:r>
            <a:rPr lang="pl-PL" sz="900" i="1" baseline="0"/>
            <a:t>2. </a:t>
          </a:r>
          <a:r>
            <a:rPr lang="pl-PL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Z</a:t>
          </a:r>
          <a:r>
            <a:rPr lang="pl-PL" sz="900" b="0" i="1">
              <a:solidFill>
                <a:schemeClr val="dk1"/>
              </a:solidFill>
              <a:latin typeface="+mn-lt"/>
              <a:ea typeface="+mn-ea"/>
              <a:cs typeface="+mn-cs"/>
            </a:rPr>
            <a:t>asady prognozowania wskaźników wzrostu ruchu wewnętrznego na okres 2008-2040 na sieci drogowej do celów planistyczno-projektowych,</a:t>
          </a:r>
        </a:p>
        <a:p>
          <a:r>
            <a:rPr lang="pl-PL" sz="9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3. Analiza prognozy wzrostu PKB do 2040 roku dla potrzeb prognozy wzrostu ruchu,</a:t>
          </a:r>
          <a:endParaRPr lang="pl-PL" sz="900" b="0" i="1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277345</xdr:colOff>
      <xdr:row>23</xdr:row>
      <xdr:rowOff>134190</xdr:rowOff>
    </xdr:from>
    <xdr:to>
      <xdr:col>5</xdr:col>
      <xdr:colOff>282948</xdr:colOff>
      <xdr:row>37</xdr:row>
      <xdr:rowOff>145956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117662</xdr:colOff>
      <xdr:row>38</xdr:row>
      <xdr:rowOff>193861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</xdr:row>
      <xdr:rowOff>76199</xdr:rowOff>
    </xdr:from>
    <xdr:to>
      <xdr:col>6</xdr:col>
      <xdr:colOff>172725</xdr:colOff>
      <xdr:row>20</xdr:row>
      <xdr:rowOff>41699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3</xdr:row>
      <xdr:rowOff>66675</xdr:rowOff>
    </xdr:from>
    <xdr:to>
      <xdr:col>11</xdr:col>
      <xdr:colOff>1010925</xdr:colOff>
      <xdr:row>20</xdr:row>
      <xdr:rowOff>32175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20</xdr:row>
      <xdr:rowOff>133349</xdr:rowOff>
    </xdr:from>
    <xdr:to>
      <xdr:col>6</xdr:col>
      <xdr:colOff>172725</xdr:colOff>
      <xdr:row>37</xdr:row>
      <xdr:rowOff>134849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26569</xdr:colOff>
      <xdr:row>20</xdr:row>
      <xdr:rowOff>141873</xdr:rowOff>
    </xdr:from>
    <xdr:to>
      <xdr:col>11</xdr:col>
      <xdr:colOff>980344</xdr:colOff>
      <xdr:row>37</xdr:row>
      <xdr:rowOff>122823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19</xdr:row>
      <xdr:rowOff>126999</xdr:rowOff>
    </xdr:from>
    <xdr:to>
      <xdr:col>14</xdr:col>
      <xdr:colOff>222250</xdr:colOff>
      <xdr:row>27</xdr:row>
      <xdr:rowOff>231322</xdr:rowOff>
    </xdr:to>
    <xdr:sp macro="" textlink="">
      <xdr:nvSpPr>
        <xdr:cNvPr id="2" name="pole tekstowe 1"/>
        <xdr:cNvSpPr txBox="1"/>
      </xdr:nvSpPr>
      <xdr:spPr>
        <a:xfrm>
          <a:off x="10772775" y="4451349"/>
          <a:ext cx="4451350" cy="18283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 u="sng"/>
            <a:t>Metodyka</a:t>
          </a:r>
        </a:p>
        <a:p>
          <a:endParaRPr lang="pl-PL" sz="1100"/>
        </a:p>
        <a:p>
          <a:r>
            <a:rPr lang="pl-PL" sz="1100" b="1" u="sng"/>
            <a:t>Wskaźniki:</a:t>
          </a:r>
        </a:p>
        <a:p>
          <a:endParaRPr lang="pl-PL" sz="1100"/>
        </a:p>
        <a:p>
          <a:r>
            <a:rPr lang="pl-PL" sz="1100"/>
            <a:t>1. EMEP/EEA emission inventory guidebook 2013 </a:t>
          </a:r>
        </a:p>
        <a:p>
          <a:r>
            <a:rPr lang="pl-PL" sz="1100"/>
            <a:t>2. EMEP/EEA air pollutant emission inventory guidebook 2013 </a:t>
          </a:r>
        </a:p>
        <a:p>
          <a:endParaRPr lang="pl-PL" sz="1100"/>
        </a:p>
      </xdr:txBody>
    </xdr:sp>
    <xdr:clientData/>
  </xdr:twoCellAnchor>
  <xdr:twoCellAnchor>
    <xdr:from>
      <xdr:col>1</xdr:col>
      <xdr:colOff>678522</xdr:colOff>
      <xdr:row>36</xdr:row>
      <xdr:rowOff>78554</xdr:rowOff>
    </xdr:from>
    <xdr:to>
      <xdr:col>5</xdr:col>
      <xdr:colOff>434510</xdr:colOff>
      <xdr:row>50</xdr:row>
      <xdr:rowOff>124787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246152</xdr:colOff>
      <xdr:row>36</xdr:row>
      <xdr:rowOff>139130</xdr:rowOff>
    </xdr:from>
    <xdr:to>
      <xdr:col>10</xdr:col>
      <xdr:colOff>1136579</xdr:colOff>
      <xdr:row>50</xdr:row>
      <xdr:rowOff>185363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154441</xdr:colOff>
      <xdr:row>21</xdr:row>
      <xdr:rowOff>105454</xdr:rowOff>
    </xdr:from>
    <xdr:to>
      <xdr:col>5</xdr:col>
      <xdr:colOff>1119974</xdr:colOff>
      <xdr:row>37</xdr:row>
      <xdr:rowOff>167473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96296</xdr:colOff>
      <xdr:row>21</xdr:row>
      <xdr:rowOff>117124</xdr:rowOff>
    </xdr:from>
    <xdr:to>
      <xdr:col>11</xdr:col>
      <xdr:colOff>877346</xdr:colOff>
      <xdr:row>37</xdr:row>
      <xdr:rowOff>155225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85828</xdr:colOff>
      <xdr:row>38</xdr:row>
      <xdr:rowOff>55265</xdr:rowOff>
    </xdr:from>
    <xdr:to>
      <xdr:col>11</xdr:col>
      <xdr:colOff>866878</xdr:colOff>
      <xdr:row>54</xdr:row>
      <xdr:rowOff>160040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38</xdr:row>
      <xdr:rowOff>57150</xdr:rowOff>
    </xdr:from>
    <xdr:to>
      <xdr:col>5</xdr:col>
      <xdr:colOff>1095375</xdr:colOff>
      <xdr:row>54</xdr:row>
      <xdr:rowOff>161925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103832</xdr:colOff>
      <xdr:row>55</xdr:row>
      <xdr:rowOff>101007</xdr:rowOff>
    </xdr:from>
    <xdr:to>
      <xdr:col>11</xdr:col>
      <xdr:colOff>865832</xdr:colOff>
      <xdr:row>72</xdr:row>
      <xdr:rowOff>24807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</xdr:colOff>
      <xdr:row>55</xdr:row>
      <xdr:rowOff>152400</xdr:rowOff>
    </xdr:from>
    <xdr:to>
      <xdr:col>5</xdr:col>
      <xdr:colOff>1076325</xdr:colOff>
      <xdr:row>72</xdr:row>
      <xdr:rowOff>76200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171450</xdr:colOff>
      <xdr:row>72</xdr:row>
      <xdr:rowOff>171450</xdr:rowOff>
    </xdr:from>
    <xdr:to>
      <xdr:col>5</xdr:col>
      <xdr:colOff>1076325</xdr:colOff>
      <xdr:row>89</xdr:row>
      <xdr:rowOff>95250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DE">
  <a:themeElements>
    <a:clrScheme name="CDE">
      <a:dk1>
        <a:sysClr val="windowText" lastClr="000000"/>
      </a:dk1>
      <a:lt1>
        <a:sysClr val="window" lastClr="FFFFFF"/>
      </a:lt1>
      <a:dk2>
        <a:srgbClr val="787878"/>
      </a:dk2>
      <a:lt2>
        <a:srgbClr val="F2F2F2"/>
      </a:lt2>
      <a:accent1>
        <a:srgbClr val="709AD1"/>
      </a:accent1>
      <a:accent2>
        <a:srgbClr val="81C210"/>
      </a:accent2>
      <a:accent3>
        <a:srgbClr val="9BBB59"/>
      </a:accent3>
      <a:accent4>
        <a:srgbClr val="50A000"/>
      </a:accent4>
      <a:accent5>
        <a:srgbClr val="FF7E00"/>
      </a:accent5>
      <a:accent6>
        <a:srgbClr val="9FD3EC"/>
      </a:accent6>
      <a:hlink>
        <a:srgbClr val="EB640F"/>
      </a:hlink>
      <a:folHlink>
        <a:srgbClr val="F7AE81"/>
      </a:folHlink>
    </a:clrScheme>
    <a:fontScheme name="CD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Hol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1"/>
  <sheetViews>
    <sheetView view="pageBreakPreview" topLeftCell="A15" zoomScale="98" zoomScaleNormal="100" zoomScaleSheetLayoutView="98" workbookViewId="0">
      <selection activeCell="E13" sqref="E13"/>
    </sheetView>
  </sheetViews>
  <sheetFormatPr defaultRowHeight="15"/>
  <cols>
    <col min="1" max="1" width="2.5" style="11" customWidth="1"/>
    <col min="2" max="2" width="30.625" style="11" customWidth="1"/>
    <col min="3" max="3" width="72.5" style="179" customWidth="1"/>
    <col min="4" max="16384" width="9" style="11"/>
  </cols>
  <sheetData>
    <row r="1" spans="2:3" ht="15" customHeight="1" thickBot="1"/>
    <row r="2" spans="2:3" ht="21.75" thickBot="1">
      <c r="B2" s="72" t="s">
        <v>0</v>
      </c>
      <c r="C2" s="180"/>
    </row>
    <row r="3" spans="2:3" ht="15.75" thickBot="1">
      <c r="B3" s="12"/>
      <c r="C3" s="181"/>
    </row>
    <row r="4" spans="2:3">
      <c r="B4" s="1" t="s">
        <v>1</v>
      </c>
      <c r="C4" s="182" t="s">
        <v>136</v>
      </c>
    </row>
    <row r="5" spans="2:3" ht="30.75" thickBot="1">
      <c r="B5" s="2" t="s">
        <v>2</v>
      </c>
      <c r="C5" s="3" t="s">
        <v>206</v>
      </c>
    </row>
    <row r="6" spans="2:3" ht="15.75" thickBot="1"/>
    <row r="7" spans="2:3" ht="15.75" thickBot="1">
      <c r="B7" s="13" t="s">
        <v>3</v>
      </c>
    </row>
    <row r="8" spans="2:3">
      <c r="B8" s="14" t="s">
        <v>4</v>
      </c>
      <c r="C8" s="183" t="s">
        <v>5</v>
      </c>
    </row>
    <row r="9" spans="2:3">
      <c r="B9" s="4" t="s">
        <v>6</v>
      </c>
      <c r="C9" s="15" t="s">
        <v>13</v>
      </c>
    </row>
    <row r="10" spans="2:3" ht="33">
      <c r="B10" s="4" t="s">
        <v>101</v>
      </c>
      <c r="C10" s="15" t="s">
        <v>133</v>
      </c>
    </row>
    <row r="11" spans="2:3">
      <c r="B11" s="4" t="s">
        <v>71</v>
      </c>
      <c r="C11" s="15" t="s">
        <v>72</v>
      </c>
    </row>
    <row r="12" spans="2:3" ht="18">
      <c r="B12" s="4" t="s">
        <v>28</v>
      </c>
      <c r="C12" s="214" t="s">
        <v>149</v>
      </c>
    </row>
    <row r="13" spans="2:3" ht="33">
      <c r="B13" s="4" t="s">
        <v>27</v>
      </c>
      <c r="C13" s="212" t="s">
        <v>150</v>
      </c>
    </row>
    <row r="14" spans="2:3" ht="33">
      <c r="B14" s="5" t="s">
        <v>75</v>
      </c>
      <c r="C14" s="212" t="s">
        <v>151</v>
      </c>
    </row>
    <row r="15" spans="2:3" ht="33">
      <c r="B15" s="5" t="s">
        <v>40</v>
      </c>
      <c r="C15" s="212" t="s">
        <v>148</v>
      </c>
    </row>
    <row r="16" spans="2:3" ht="18">
      <c r="B16" s="5" t="s">
        <v>76</v>
      </c>
      <c r="C16" s="16" t="s">
        <v>7</v>
      </c>
    </row>
    <row r="17" spans="2:3" ht="18">
      <c r="B17" s="6" t="s">
        <v>10</v>
      </c>
      <c r="C17" s="211" t="s">
        <v>146</v>
      </c>
    </row>
    <row r="18" spans="2:3" ht="18">
      <c r="B18" s="6" t="s">
        <v>11</v>
      </c>
      <c r="C18" s="212" t="s">
        <v>145</v>
      </c>
    </row>
    <row r="19" spans="2:3" ht="18">
      <c r="B19" s="5" t="s">
        <v>9</v>
      </c>
      <c r="C19" s="16" t="s">
        <v>134</v>
      </c>
    </row>
    <row r="20" spans="2:3" ht="33">
      <c r="B20" s="5" t="s">
        <v>8</v>
      </c>
      <c r="C20" s="16" t="s">
        <v>135</v>
      </c>
    </row>
    <row r="21" spans="2:3" ht="33.75" thickBot="1">
      <c r="B21" s="7" t="s">
        <v>120</v>
      </c>
      <c r="C21" s="213" t="s">
        <v>147</v>
      </c>
    </row>
  </sheetData>
  <pageMargins left="0.7" right="0.7" top="0.75" bottom="0.75" header="0.3" footer="0.3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"/>
  <sheetViews>
    <sheetView view="pageBreakPreview" topLeftCell="A16" zoomScale="95" zoomScaleNormal="100" zoomScaleSheetLayoutView="95" workbookViewId="0">
      <selection activeCell="N37" sqref="N37"/>
    </sheetView>
  </sheetViews>
  <sheetFormatPr defaultRowHeight="15"/>
  <cols>
    <col min="1" max="1" width="2.5" style="11" customWidth="1"/>
    <col min="2" max="2" width="9" style="11"/>
    <col min="3" max="3" width="11.875" style="11" customWidth="1"/>
    <col min="4" max="4" width="13.5" style="11" bestFit="1" customWidth="1"/>
    <col min="5" max="5" width="15.625" style="11" customWidth="1"/>
    <col min="6" max="6" width="13.5" style="11" bestFit="1" customWidth="1"/>
    <col min="7" max="7" width="2.5" style="11" customWidth="1"/>
    <col min="8" max="8" width="9.125" style="11" bestFit="1" customWidth="1"/>
    <col min="9" max="9" width="12.75" style="11" customWidth="1"/>
    <col min="10" max="10" width="13.75" style="11" customWidth="1"/>
    <col min="11" max="11" width="18" style="11" customWidth="1"/>
    <col min="12" max="12" width="13.5" style="11" bestFit="1" customWidth="1"/>
    <col min="13" max="13" width="9" style="11" customWidth="1"/>
    <col min="14" max="14" width="11.625" style="11" customWidth="1"/>
    <col min="15" max="15" width="9" style="11" customWidth="1"/>
    <col min="16" max="18" width="11.625" style="11" customWidth="1"/>
    <col min="19" max="19" width="9" style="11" customWidth="1"/>
    <col min="20" max="16384" width="9" style="11"/>
  </cols>
  <sheetData>
    <row r="1" spans="2:12" s="17" customFormat="1" ht="15" customHeight="1" thickBot="1"/>
    <row r="2" spans="2:12" s="17" customFormat="1" ht="19.5" thickBot="1">
      <c r="B2" s="18" t="s">
        <v>167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s="17" customFormat="1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38" max="11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showGridLines="0" view="pageBreakPreview" topLeftCell="E37" zoomScale="89" zoomScaleNormal="70" zoomScaleSheetLayoutView="89" workbookViewId="0">
      <selection activeCell="N10" sqref="N10"/>
    </sheetView>
  </sheetViews>
  <sheetFormatPr defaultRowHeight="15"/>
  <cols>
    <col min="1" max="1" width="2.5" style="409" customWidth="1"/>
    <col min="2" max="2" width="21.5" style="409" customWidth="1"/>
    <col min="3" max="3" width="11.5" style="409" customWidth="1"/>
    <col min="4" max="4" width="14.5" style="409" customWidth="1"/>
    <col min="5" max="5" width="15.75" style="409" customWidth="1"/>
    <col min="6" max="6" width="18" style="409" customWidth="1"/>
    <col min="7" max="7" width="14.75" style="409" customWidth="1"/>
    <col min="8" max="8" width="17" style="409" customWidth="1"/>
    <col min="9" max="9" width="14.125" style="409" customWidth="1"/>
    <col min="10" max="10" width="2.375" style="409" customWidth="1"/>
    <col min="11" max="11" width="21" style="409" bestFit="1" customWidth="1"/>
    <col min="12" max="12" width="11.125" style="409" bestFit="1" customWidth="1"/>
    <col min="13" max="13" width="17.125" style="409" bestFit="1" customWidth="1"/>
    <col min="14" max="14" width="15.625" style="409" bestFit="1" customWidth="1"/>
    <col min="15" max="15" width="12.5" style="409" bestFit="1" customWidth="1"/>
    <col min="16" max="16" width="2.625" style="409" customWidth="1"/>
    <col min="17" max="256" width="9" style="409"/>
    <col min="257" max="257" width="2.5" style="409" customWidth="1"/>
    <col min="258" max="258" width="21.5" style="409" customWidth="1"/>
    <col min="259" max="259" width="11.5" style="409" customWidth="1"/>
    <col min="260" max="260" width="14.5" style="409" customWidth="1"/>
    <col min="261" max="261" width="15.75" style="409" customWidth="1"/>
    <col min="262" max="262" width="18" style="409" customWidth="1"/>
    <col min="263" max="263" width="14.75" style="409" customWidth="1"/>
    <col min="264" max="264" width="17" style="409" customWidth="1"/>
    <col min="265" max="265" width="14.125" style="409" customWidth="1"/>
    <col min="266" max="266" width="2.375" style="409" customWidth="1"/>
    <col min="267" max="267" width="21" style="409" bestFit="1" customWidth="1"/>
    <col min="268" max="268" width="11.125" style="409" bestFit="1" customWidth="1"/>
    <col min="269" max="269" width="17.125" style="409" bestFit="1" customWidth="1"/>
    <col min="270" max="270" width="15.625" style="409" bestFit="1" customWidth="1"/>
    <col min="271" max="271" width="12.5" style="409" bestFit="1" customWidth="1"/>
    <col min="272" max="272" width="2.625" style="409" customWidth="1"/>
    <col min="273" max="512" width="9" style="409"/>
    <col min="513" max="513" width="2.5" style="409" customWidth="1"/>
    <col min="514" max="514" width="21.5" style="409" customWidth="1"/>
    <col min="515" max="515" width="11.5" style="409" customWidth="1"/>
    <col min="516" max="516" width="14.5" style="409" customWidth="1"/>
    <col min="517" max="517" width="15.75" style="409" customWidth="1"/>
    <col min="518" max="518" width="18" style="409" customWidth="1"/>
    <col min="519" max="519" width="14.75" style="409" customWidth="1"/>
    <col min="520" max="520" width="17" style="409" customWidth="1"/>
    <col min="521" max="521" width="14.125" style="409" customWidth="1"/>
    <col min="522" max="522" width="2.375" style="409" customWidth="1"/>
    <col min="523" max="523" width="21" style="409" bestFit="1" customWidth="1"/>
    <col min="524" max="524" width="11.125" style="409" bestFit="1" customWidth="1"/>
    <col min="525" max="525" width="17.125" style="409" bestFit="1" customWidth="1"/>
    <col min="526" max="526" width="15.625" style="409" bestFit="1" customWidth="1"/>
    <col min="527" max="527" width="12.5" style="409" bestFit="1" customWidth="1"/>
    <col min="528" max="528" width="2.625" style="409" customWidth="1"/>
    <col min="529" max="768" width="9" style="409"/>
    <col min="769" max="769" width="2.5" style="409" customWidth="1"/>
    <col min="770" max="770" width="21.5" style="409" customWidth="1"/>
    <col min="771" max="771" width="11.5" style="409" customWidth="1"/>
    <col min="772" max="772" width="14.5" style="409" customWidth="1"/>
    <col min="773" max="773" width="15.75" style="409" customWidth="1"/>
    <col min="774" max="774" width="18" style="409" customWidth="1"/>
    <col min="775" max="775" width="14.75" style="409" customWidth="1"/>
    <col min="776" max="776" width="17" style="409" customWidth="1"/>
    <col min="777" max="777" width="14.125" style="409" customWidth="1"/>
    <col min="778" max="778" width="2.375" style="409" customWidth="1"/>
    <col min="779" max="779" width="21" style="409" bestFit="1" customWidth="1"/>
    <col min="780" max="780" width="11.125" style="409" bestFit="1" customWidth="1"/>
    <col min="781" max="781" width="17.125" style="409" bestFit="1" customWidth="1"/>
    <col min="782" max="782" width="15.625" style="409" bestFit="1" customWidth="1"/>
    <col min="783" max="783" width="12.5" style="409" bestFit="1" customWidth="1"/>
    <col min="784" max="784" width="2.625" style="409" customWidth="1"/>
    <col min="785" max="1024" width="9" style="409"/>
    <col min="1025" max="1025" width="2.5" style="409" customWidth="1"/>
    <col min="1026" max="1026" width="21.5" style="409" customWidth="1"/>
    <col min="1027" max="1027" width="11.5" style="409" customWidth="1"/>
    <col min="1028" max="1028" width="14.5" style="409" customWidth="1"/>
    <col min="1029" max="1029" width="15.75" style="409" customWidth="1"/>
    <col min="1030" max="1030" width="18" style="409" customWidth="1"/>
    <col min="1031" max="1031" width="14.75" style="409" customWidth="1"/>
    <col min="1032" max="1032" width="17" style="409" customWidth="1"/>
    <col min="1033" max="1033" width="14.125" style="409" customWidth="1"/>
    <col min="1034" max="1034" width="2.375" style="409" customWidth="1"/>
    <col min="1035" max="1035" width="21" style="409" bestFit="1" customWidth="1"/>
    <col min="1036" max="1036" width="11.125" style="409" bestFit="1" customWidth="1"/>
    <col min="1037" max="1037" width="17.125" style="409" bestFit="1" customWidth="1"/>
    <col min="1038" max="1038" width="15.625" style="409" bestFit="1" customWidth="1"/>
    <col min="1039" max="1039" width="12.5" style="409" bestFit="1" customWidth="1"/>
    <col min="1040" max="1040" width="2.625" style="409" customWidth="1"/>
    <col min="1041" max="1280" width="9" style="409"/>
    <col min="1281" max="1281" width="2.5" style="409" customWidth="1"/>
    <col min="1282" max="1282" width="21.5" style="409" customWidth="1"/>
    <col min="1283" max="1283" width="11.5" style="409" customWidth="1"/>
    <col min="1284" max="1284" width="14.5" style="409" customWidth="1"/>
    <col min="1285" max="1285" width="15.75" style="409" customWidth="1"/>
    <col min="1286" max="1286" width="18" style="409" customWidth="1"/>
    <col min="1287" max="1287" width="14.75" style="409" customWidth="1"/>
    <col min="1288" max="1288" width="17" style="409" customWidth="1"/>
    <col min="1289" max="1289" width="14.125" style="409" customWidth="1"/>
    <col min="1290" max="1290" width="2.375" style="409" customWidth="1"/>
    <col min="1291" max="1291" width="21" style="409" bestFit="1" customWidth="1"/>
    <col min="1292" max="1292" width="11.125" style="409" bestFit="1" customWidth="1"/>
    <col min="1293" max="1293" width="17.125" style="409" bestFit="1" customWidth="1"/>
    <col min="1294" max="1294" width="15.625" style="409" bestFit="1" customWidth="1"/>
    <col min="1295" max="1295" width="12.5" style="409" bestFit="1" customWidth="1"/>
    <col min="1296" max="1296" width="2.625" style="409" customWidth="1"/>
    <col min="1297" max="1536" width="9" style="409"/>
    <col min="1537" max="1537" width="2.5" style="409" customWidth="1"/>
    <col min="1538" max="1538" width="21.5" style="409" customWidth="1"/>
    <col min="1539" max="1539" width="11.5" style="409" customWidth="1"/>
    <col min="1540" max="1540" width="14.5" style="409" customWidth="1"/>
    <col min="1541" max="1541" width="15.75" style="409" customWidth="1"/>
    <col min="1542" max="1542" width="18" style="409" customWidth="1"/>
    <col min="1543" max="1543" width="14.75" style="409" customWidth="1"/>
    <col min="1544" max="1544" width="17" style="409" customWidth="1"/>
    <col min="1545" max="1545" width="14.125" style="409" customWidth="1"/>
    <col min="1546" max="1546" width="2.375" style="409" customWidth="1"/>
    <col min="1547" max="1547" width="21" style="409" bestFit="1" customWidth="1"/>
    <col min="1548" max="1548" width="11.125" style="409" bestFit="1" customWidth="1"/>
    <col min="1549" max="1549" width="17.125" style="409" bestFit="1" customWidth="1"/>
    <col min="1550" max="1550" width="15.625" style="409" bestFit="1" customWidth="1"/>
    <col min="1551" max="1551" width="12.5" style="409" bestFit="1" customWidth="1"/>
    <col min="1552" max="1552" width="2.625" style="409" customWidth="1"/>
    <col min="1553" max="1792" width="9" style="409"/>
    <col min="1793" max="1793" width="2.5" style="409" customWidth="1"/>
    <col min="1794" max="1794" width="21.5" style="409" customWidth="1"/>
    <col min="1795" max="1795" width="11.5" style="409" customWidth="1"/>
    <col min="1796" max="1796" width="14.5" style="409" customWidth="1"/>
    <col min="1797" max="1797" width="15.75" style="409" customWidth="1"/>
    <col min="1798" max="1798" width="18" style="409" customWidth="1"/>
    <col min="1799" max="1799" width="14.75" style="409" customWidth="1"/>
    <col min="1800" max="1800" width="17" style="409" customWidth="1"/>
    <col min="1801" max="1801" width="14.125" style="409" customWidth="1"/>
    <col min="1802" max="1802" width="2.375" style="409" customWidth="1"/>
    <col min="1803" max="1803" width="21" style="409" bestFit="1" customWidth="1"/>
    <col min="1804" max="1804" width="11.125" style="409" bestFit="1" customWidth="1"/>
    <col min="1805" max="1805" width="17.125" style="409" bestFit="1" customWidth="1"/>
    <col min="1806" max="1806" width="15.625" style="409" bestFit="1" customWidth="1"/>
    <col min="1807" max="1807" width="12.5" style="409" bestFit="1" customWidth="1"/>
    <col min="1808" max="1808" width="2.625" style="409" customWidth="1"/>
    <col min="1809" max="2048" width="9" style="409"/>
    <col min="2049" max="2049" width="2.5" style="409" customWidth="1"/>
    <col min="2050" max="2050" width="21.5" style="409" customWidth="1"/>
    <col min="2051" max="2051" width="11.5" style="409" customWidth="1"/>
    <col min="2052" max="2052" width="14.5" style="409" customWidth="1"/>
    <col min="2053" max="2053" width="15.75" style="409" customWidth="1"/>
    <col min="2054" max="2054" width="18" style="409" customWidth="1"/>
    <col min="2055" max="2055" width="14.75" style="409" customWidth="1"/>
    <col min="2056" max="2056" width="17" style="409" customWidth="1"/>
    <col min="2057" max="2057" width="14.125" style="409" customWidth="1"/>
    <col min="2058" max="2058" width="2.375" style="409" customWidth="1"/>
    <col min="2059" max="2059" width="21" style="409" bestFit="1" customWidth="1"/>
    <col min="2060" max="2060" width="11.125" style="409" bestFit="1" customWidth="1"/>
    <col min="2061" max="2061" width="17.125" style="409" bestFit="1" customWidth="1"/>
    <col min="2062" max="2062" width="15.625" style="409" bestFit="1" customWidth="1"/>
    <col min="2063" max="2063" width="12.5" style="409" bestFit="1" customWidth="1"/>
    <col min="2064" max="2064" width="2.625" style="409" customWidth="1"/>
    <col min="2065" max="2304" width="9" style="409"/>
    <col min="2305" max="2305" width="2.5" style="409" customWidth="1"/>
    <col min="2306" max="2306" width="21.5" style="409" customWidth="1"/>
    <col min="2307" max="2307" width="11.5" style="409" customWidth="1"/>
    <col min="2308" max="2308" width="14.5" style="409" customWidth="1"/>
    <col min="2309" max="2309" width="15.75" style="409" customWidth="1"/>
    <col min="2310" max="2310" width="18" style="409" customWidth="1"/>
    <col min="2311" max="2311" width="14.75" style="409" customWidth="1"/>
    <col min="2312" max="2312" width="17" style="409" customWidth="1"/>
    <col min="2313" max="2313" width="14.125" style="409" customWidth="1"/>
    <col min="2314" max="2314" width="2.375" style="409" customWidth="1"/>
    <col min="2315" max="2315" width="21" style="409" bestFit="1" customWidth="1"/>
    <col min="2316" max="2316" width="11.125" style="409" bestFit="1" customWidth="1"/>
    <col min="2317" max="2317" width="17.125" style="409" bestFit="1" customWidth="1"/>
    <col min="2318" max="2318" width="15.625" style="409" bestFit="1" customWidth="1"/>
    <col min="2319" max="2319" width="12.5" style="409" bestFit="1" customWidth="1"/>
    <col min="2320" max="2320" width="2.625" style="409" customWidth="1"/>
    <col min="2321" max="2560" width="9" style="409"/>
    <col min="2561" max="2561" width="2.5" style="409" customWidth="1"/>
    <col min="2562" max="2562" width="21.5" style="409" customWidth="1"/>
    <col min="2563" max="2563" width="11.5" style="409" customWidth="1"/>
    <col min="2564" max="2564" width="14.5" style="409" customWidth="1"/>
    <col min="2565" max="2565" width="15.75" style="409" customWidth="1"/>
    <col min="2566" max="2566" width="18" style="409" customWidth="1"/>
    <col min="2567" max="2567" width="14.75" style="409" customWidth="1"/>
    <col min="2568" max="2568" width="17" style="409" customWidth="1"/>
    <col min="2569" max="2569" width="14.125" style="409" customWidth="1"/>
    <col min="2570" max="2570" width="2.375" style="409" customWidth="1"/>
    <col min="2571" max="2571" width="21" style="409" bestFit="1" customWidth="1"/>
    <col min="2572" max="2572" width="11.125" style="409" bestFit="1" customWidth="1"/>
    <col min="2573" max="2573" width="17.125" style="409" bestFit="1" customWidth="1"/>
    <col min="2574" max="2574" width="15.625" style="409" bestFit="1" customWidth="1"/>
    <col min="2575" max="2575" width="12.5" style="409" bestFit="1" customWidth="1"/>
    <col min="2576" max="2576" width="2.625" style="409" customWidth="1"/>
    <col min="2577" max="2816" width="9" style="409"/>
    <col min="2817" max="2817" width="2.5" style="409" customWidth="1"/>
    <col min="2818" max="2818" width="21.5" style="409" customWidth="1"/>
    <col min="2819" max="2819" width="11.5" style="409" customWidth="1"/>
    <col min="2820" max="2820" width="14.5" style="409" customWidth="1"/>
    <col min="2821" max="2821" width="15.75" style="409" customWidth="1"/>
    <col min="2822" max="2822" width="18" style="409" customWidth="1"/>
    <col min="2823" max="2823" width="14.75" style="409" customWidth="1"/>
    <col min="2824" max="2824" width="17" style="409" customWidth="1"/>
    <col min="2825" max="2825" width="14.125" style="409" customWidth="1"/>
    <col min="2826" max="2826" width="2.375" style="409" customWidth="1"/>
    <col min="2827" max="2827" width="21" style="409" bestFit="1" customWidth="1"/>
    <col min="2828" max="2828" width="11.125" style="409" bestFit="1" customWidth="1"/>
    <col min="2829" max="2829" width="17.125" style="409" bestFit="1" customWidth="1"/>
    <col min="2830" max="2830" width="15.625" style="409" bestFit="1" customWidth="1"/>
    <col min="2831" max="2831" width="12.5" style="409" bestFit="1" customWidth="1"/>
    <col min="2832" max="2832" width="2.625" style="409" customWidth="1"/>
    <col min="2833" max="3072" width="9" style="409"/>
    <col min="3073" max="3073" width="2.5" style="409" customWidth="1"/>
    <col min="3074" max="3074" width="21.5" style="409" customWidth="1"/>
    <col min="3075" max="3075" width="11.5" style="409" customWidth="1"/>
    <col min="3076" max="3076" width="14.5" style="409" customWidth="1"/>
    <col min="3077" max="3077" width="15.75" style="409" customWidth="1"/>
    <col min="3078" max="3078" width="18" style="409" customWidth="1"/>
    <col min="3079" max="3079" width="14.75" style="409" customWidth="1"/>
    <col min="3080" max="3080" width="17" style="409" customWidth="1"/>
    <col min="3081" max="3081" width="14.125" style="409" customWidth="1"/>
    <col min="3082" max="3082" width="2.375" style="409" customWidth="1"/>
    <col min="3083" max="3083" width="21" style="409" bestFit="1" customWidth="1"/>
    <col min="3084" max="3084" width="11.125" style="409" bestFit="1" customWidth="1"/>
    <col min="3085" max="3085" width="17.125" style="409" bestFit="1" customWidth="1"/>
    <col min="3086" max="3086" width="15.625" style="409" bestFit="1" customWidth="1"/>
    <col min="3087" max="3087" width="12.5" style="409" bestFit="1" customWidth="1"/>
    <col min="3088" max="3088" width="2.625" style="409" customWidth="1"/>
    <col min="3089" max="3328" width="9" style="409"/>
    <col min="3329" max="3329" width="2.5" style="409" customWidth="1"/>
    <col min="3330" max="3330" width="21.5" style="409" customWidth="1"/>
    <col min="3331" max="3331" width="11.5" style="409" customWidth="1"/>
    <col min="3332" max="3332" width="14.5" style="409" customWidth="1"/>
    <col min="3333" max="3333" width="15.75" style="409" customWidth="1"/>
    <col min="3334" max="3334" width="18" style="409" customWidth="1"/>
    <col min="3335" max="3335" width="14.75" style="409" customWidth="1"/>
    <col min="3336" max="3336" width="17" style="409" customWidth="1"/>
    <col min="3337" max="3337" width="14.125" style="409" customWidth="1"/>
    <col min="3338" max="3338" width="2.375" style="409" customWidth="1"/>
    <col min="3339" max="3339" width="21" style="409" bestFit="1" customWidth="1"/>
    <col min="3340" max="3340" width="11.125" style="409" bestFit="1" customWidth="1"/>
    <col min="3341" max="3341" width="17.125" style="409" bestFit="1" customWidth="1"/>
    <col min="3342" max="3342" width="15.625" style="409" bestFit="1" customWidth="1"/>
    <col min="3343" max="3343" width="12.5" style="409" bestFit="1" customWidth="1"/>
    <col min="3344" max="3344" width="2.625" style="409" customWidth="1"/>
    <col min="3345" max="3584" width="9" style="409"/>
    <col min="3585" max="3585" width="2.5" style="409" customWidth="1"/>
    <col min="3586" max="3586" width="21.5" style="409" customWidth="1"/>
    <col min="3587" max="3587" width="11.5" style="409" customWidth="1"/>
    <col min="3588" max="3588" width="14.5" style="409" customWidth="1"/>
    <col min="3589" max="3589" width="15.75" style="409" customWidth="1"/>
    <col min="3590" max="3590" width="18" style="409" customWidth="1"/>
    <col min="3591" max="3591" width="14.75" style="409" customWidth="1"/>
    <col min="3592" max="3592" width="17" style="409" customWidth="1"/>
    <col min="3593" max="3593" width="14.125" style="409" customWidth="1"/>
    <col min="3594" max="3594" width="2.375" style="409" customWidth="1"/>
    <col min="3595" max="3595" width="21" style="409" bestFit="1" customWidth="1"/>
    <col min="3596" max="3596" width="11.125" style="409" bestFit="1" customWidth="1"/>
    <col min="3597" max="3597" width="17.125" style="409" bestFit="1" customWidth="1"/>
    <col min="3598" max="3598" width="15.625" style="409" bestFit="1" customWidth="1"/>
    <col min="3599" max="3599" width="12.5" style="409" bestFit="1" customWidth="1"/>
    <col min="3600" max="3600" width="2.625" style="409" customWidth="1"/>
    <col min="3601" max="3840" width="9" style="409"/>
    <col min="3841" max="3841" width="2.5" style="409" customWidth="1"/>
    <col min="3842" max="3842" width="21.5" style="409" customWidth="1"/>
    <col min="3843" max="3843" width="11.5" style="409" customWidth="1"/>
    <col min="3844" max="3844" width="14.5" style="409" customWidth="1"/>
    <col min="3845" max="3845" width="15.75" style="409" customWidth="1"/>
    <col min="3846" max="3846" width="18" style="409" customWidth="1"/>
    <col min="3847" max="3847" width="14.75" style="409" customWidth="1"/>
    <col min="3848" max="3848" width="17" style="409" customWidth="1"/>
    <col min="3849" max="3849" width="14.125" style="409" customWidth="1"/>
    <col min="3850" max="3850" width="2.375" style="409" customWidth="1"/>
    <col min="3851" max="3851" width="21" style="409" bestFit="1" customWidth="1"/>
    <col min="3852" max="3852" width="11.125" style="409" bestFit="1" customWidth="1"/>
    <col min="3853" max="3853" width="17.125" style="409" bestFit="1" customWidth="1"/>
    <col min="3854" max="3854" width="15.625" style="409" bestFit="1" customWidth="1"/>
    <col min="3855" max="3855" width="12.5" style="409" bestFit="1" customWidth="1"/>
    <col min="3856" max="3856" width="2.625" style="409" customWidth="1"/>
    <col min="3857" max="4096" width="9" style="409"/>
    <col min="4097" max="4097" width="2.5" style="409" customWidth="1"/>
    <col min="4098" max="4098" width="21.5" style="409" customWidth="1"/>
    <col min="4099" max="4099" width="11.5" style="409" customWidth="1"/>
    <col min="4100" max="4100" width="14.5" style="409" customWidth="1"/>
    <col min="4101" max="4101" width="15.75" style="409" customWidth="1"/>
    <col min="4102" max="4102" width="18" style="409" customWidth="1"/>
    <col min="4103" max="4103" width="14.75" style="409" customWidth="1"/>
    <col min="4104" max="4104" width="17" style="409" customWidth="1"/>
    <col min="4105" max="4105" width="14.125" style="409" customWidth="1"/>
    <col min="4106" max="4106" width="2.375" style="409" customWidth="1"/>
    <col min="4107" max="4107" width="21" style="409" bestFit="1" customWidth="1"/>
    <col min="4108" max="4108" width="11.125" style="409" bestFit="1" customWidth="1"/>
    <col min="4109" max="4109" width="17.125" style="409" bestFit="1" customWidth="1"/>
    <col min="4110" max="4110" width="15.625" style="409" bestFit="1" customWidth="1"/>
    <col min="4111" max="4111" width="12.5" style="409" bestFit="1" customWidth="1"/>
    <col min="4112" max="4112" width="2.625" style="409" customWidth="1"/>
    <col min="4113" max="4352" width="9" style="409"/>
    <col min="4353" max="4353" width="2.5" style="409" customWidth="1"/>
    <col min="4354" max="4354" width="21.5" style="409" customWidth="1"/>
    <col min="4355" max="4355" width="11.5" style="409" customWidth="1"/>
    <col min="4356" max="4356" width="14.5" style="409" customWidth="1"/>
    <col min="4357" max="4357" width="15.75" style="409" customWidth="1"/>
    <col min="4358" max="4358" width="18" style="409" customWidth="1"/>
    <col min="4359" max="4359" width="14.75" style="409" customWidth="1"/>
    <col min="4360" max="4360" width="17" style="409" customWidth="1"/>
    <col min="4361" max="4361" width="14.125" style="409" customWidth="1"/>
    <col min="4362" max="4362" width="2.375" style="409" customWidth="1"/>
    <col min="4363" max="4363" width="21" style="409" bestFit="1" customWidth="1"/>
    <col min="4364" max="4364" width="11.125" style="409" bestFit="1" customWidth="1"/>
    <col min="4365" max="4365" width="17.125" style="409" bestFit="1" customWidth="1"/>
    <col min="4366" max="4366" width="15.625" style="409" bestFit="1" customWidth="1"/>
    <col min="4367" max="4367" width="12.5" style="409" bestFit="1" customWidth="1"/>
    <col min="4368" max="4368" width="2.625" style="409" customWidth="1"/>
    <col min="4369" max="4608" width="9" style="409"/>
    <col min="4609" max="4609" width="2.5" style="409" customWidth="1"/>
    <col min="4610" max="4610" width="21.5" style="409" customWidth="1"/>
    <col min="4611" max="4611" width="11.5" style="409" customWidth="1"/>
    <col min="4612" max="4612" width="14.5" style="409" customWidth="1"/>
    <col min="4613" max="4613" width="15.75" style="409" customWidth="1"/>
    <col min="4614" max="4614" width="18" style="409" customWidth="1"/>
    <col min="4615" max="4615" width="14.75" style="409" customWidth="1"/>
    <col min="4616" max="4616" width="17" style="409" customWidth="1"/>
    <col min="4617" max="4617" width="14.125" style="409" customWidth="1"/>
    <col min="4618" max="4618" width="2.375" style="409" customWidth="1"/>
    <col min="4619" max="4619" width="21" style="409" bestFit="1" customWidth="1"/>
    <col min="4620" max="4620" width="11.125" style="409" bestFit="1" customWidth="1"/>
    <col min="4621" max="4621" width="17.125" style="409" bestFit="1" customWidth="1"/>
    <col min="4622" max="4622" width="15.625" style="409" bestFit="1" customWidth="1"/>
    <col min="4623" max="4623" width="12.5" style="409" bestFit="1" customWidth="1"/>
    <col min="4624" max="4624" width="2.625" style="409" customWidth="1"/>
    <col min="4625" max="4864" width="9" style="409"/>
    <col min="4865" max="4865" width="2.5" style="409" customWidth="1"/>
    <col min="4866" max="4866" width="21.5" style="409" customWidth="1"/>
    <col min="4867" max="4867" width="11.5" style="409" customWidth="1"/>
    <col min="4868" max="4868" width="14.5" style="409" customWidth="1"/>
    <col min="4869" max="4869" width="15.75" style="409" customWidth="1"/>
    <col min="4870" max="4870" width="18" style="409" customWidth="1"/>
    <col min="4871" max="4871" width="14.75" style="409" customWidth="1"/>
    <col min="4872" max="4872" width="17" style="409" customWidth="1"/>
    <col min="4873" max="4873" width="14.125" style="409" customWidth="1"/>
    <col min="4874" max="4874" width="2.375" style="409" customWidth="1"/>
    <col min="4875" max="4875" width="21" style="409" bestFit="1" customWidth="1"/>
    <col min="4876" max="4876" width="11.125" style="409" bestFit="1" customWidth="1"/>
    <col min="4877" max="4877" width="17.125" style="409" bestFit="1" customWidth="1"/>
    <col min="4878" max="4878" width="15.625" style="409" bestFit="1" customWidth="1"/>
    <col min="4879" max="4879" width="12.5" style="409" bestFit="1" customWidth="1"/>
    <col min="4880" max="4880" width="2.625" style="409" customWidth="1"/>
    <col min="4881" max="5120" width="9" style="409"/>
    <col min="5121" max="5121" width="2.5" style="409" customWidth="1"/>
    <col min="5122" max="5122" width="21.5" style="409" customWidth="1"/>
    <col min="5123" max="5123" width="11.5" style="409" customWidth="1"/>
    <col min="5124" max="5124" width="14.5" style="409" customWidth="1"/>
    <col min="5125" max="5125" width="15.75" style="409" customWidth="1"/>
    <col min="5126" max="5126" width="18" style="409" customWidth="1"/>
    <col min="5127" max="5127" width="14.75" style="409" customWidth="1"/>
    <col min="5128" max="5128" width="17" style="409" customWidth="1"/>
    <col min="5129" max="5129" width="14.125" style="409" customWidth="1"/>
    <col min="5130" max="5130" width="2.375" style="409" customWidth="1"/>
    <col min="5131" max="5131" width="21" style="409" bestFit="1" customWidth="1"/>
    <col min="5132" max="5132" width="11.125" style="409" bestFit="1" customWidth="1"/>
    <col min="5133" max="5133" width="17.125" style="409" bestFit="1" customWidth="1"/>
    <col min="5134" max="5134" width="15.625" style="409" bestFit="1" customWidth="1"/>
    <col min="5135" max="5135" width="12.5" style="409" bestFit="1" customWidth="1"/>
    <col min="5136" max="5136" width="2.625" style="409" customWidth="1"/>
    <col min="5137" max="5376" width="9" style="409"/>
    <col min="5377" max="5377" width="2.5" style="409" customWidth="1"/>
    <col min="5378" max="5378" width="21.5" style="409" customWidth="1"/>
    <col min="5379" max="5379" width="11.5" style="409" customWidth="1"/>
    <col min="5380" max="5380" width="14.5" style="409" customWidth="1"/>
    <col min="5381" max="5381" width="15.75" style="409" customWidth="1"/>
    <col min="5382" max="5382" width="18" style="409" customWidth="1"/>
    <col min="5383" max="5383" width="14.75" style="409" customWidth="1"/>
    <col min="5384" max="5384" width="17" style="409" customWidth="1"/>
    <col min="5385" max="5385" width="14.125" style="409" customWidth="1"/>
    <col min="5386" max="5386" width="2.375" style="409" customWidth="1"/>
    <col min="5387" max="5387" width="21" style="409" bestFit="1" customWidth="1"/>
    <col min="5388" max="5388" width="11.125" style="409" bestFit="1" customWidth="1"/>
    <col min="5389" max="5389" width="17.125" style="409" bestFit="1" customWidth="1"/>
    <col min="5390" max="5390" width="15.625" style="409" bestFit="1" customWidth="1"/>
    <col min="5391" max="5391" width="12.5" style="409" bestFit="1" customWidth="1"/>
    <col min="5392" max="5392" width="2.625" style="409" customWidth="1"/>
    <col min="5393" max="5632" width="9" style="409"/>
    <col min="5633" max="5633" width="2.5" style="409" customWidth="1"/>
    <col min="5634" max="5634" width="21.5" style="409" customWidth="1"/>
    <col min="5635" max="5635" width="11.5" style="409" customWidth="1"/>
    <col min="5636" max="5636" width="14.5" style="409" customWidth="1"/>
    <col min="5637" max="5637" width="15.75" style="409" customWidth="1"/>
    <col min="5638" max="5638" width="18" style="409" customWidth="1"/>
    <col min="5639" max="5639" width="14.75" style="409" customWidth="1"/>
    <col min="5640" max="5640" width="17" style="409" customWidth="1"/>
    <col min="5641" max="5641" width="14.125" style="409" customWidth="1"/>
    <col min="5642" max="5642" width="2.375" style="409" customWidth="1"/>
    <col min="5643" max="5643" width="21" style="409" bestFit="1" customWidth="1"/>
    <col min="5644" max="5644" width="11.125" style="409" bestFit="1" customWidth="1"/>
    <col min="5645" max="5645" width="17.125" style="409" bestFit="1" customWidth="1"/>
    <col min="5646" max="5646" width="15.625" style="409" bestFit="1" customWidth="1"/>
    <col min="5647" max="5647" width="12.5" style="409" bestFit="1" customWidth="1"/>
    <col min="5648" max="5648" width="2.625" style="409" customWidth="1"/>
    <col min="5649" max="5888" width="9" style="409"/>
    <col min="5889" max="5889" width="2.5" style="409" customWidth="1"/>
    <col min="5890" max="5890" width="21.5" style="409" customWidth="1"/>
    <col min="5891" max="5891" width="11.5" style="409" customWidth="1"/>
    <col min="5892" max="5892" width="14.5" style="409" customWidth="1"/>
    <col min="5893" max="5893" width="15.75" style="409" customWidth="1"/>
    <col min="5894" max="5894" width="18" style="409" customWidth="1"/>
    <col min="5895" max="5895" width="14.75" style="409" customWidth="1"/>
    <col min="5896" max="5896" width="17" style="409" customWidth="1"/>
    <col min="5897" max="5897" width="14.125" style="409" customWidth="1"/>
    <col min="5898" max="5898" width="2.375" style="409" customWidth="1"/>
    <col min="5899" max="5899" width="21" style="409" bestFit="1" customWidth="1"/>
    <col min="5900" max="5900" width="11.125" style="409" bestFit="1" customWidth="1"/>
    <col min="5901" max="5901" width="17.125" style="409" bestFit="1" customWidth="1"/>
    <col min="5902" max="5902" width="15.625" style="409" bestFit="1" customWidth="1"/>
    <col min="5903" max="5903" width="12.5" style="409" bestFit="1" customWidth="1"/>
    <col min="5904" max="5904" width="2.625" style="409" customWidth="1"/>
    <col min="5905" max="6144" width="9" style="409"/>
    <col min="6145" max="6145" width="2.5" style="409" customWidth="1"/>
    <col min="6146" max="6146" width="21.5" style="409" customWidth="1"/>
    <col min="6147" max="6147" width="11.5" style="409" customWidth="1"/>
    <col min="6148" max="6148" width="14.5" style="409" customWidth="1"/>
    <col min="6149" max="6149" width="15.75" style="409" customWidth="1"/>
    <col min="6150" max="6150" width="18" style="409" customWidth="1"/>
    <col min="6151" max="6151" width="14.75" style="409" customWidth="1"/>
    <col min="6152" max="6152" width="17" style="409" customWidth="1"/>
    <col min="6153" max="6153" width="14.125" style="409" customWidth="1"/>
    <col min="6154" max="6154" width="2.375" style="409" customWidth="1"/>
    <col min="6155" max="6155" width="21" style="409" bestFit="1" customWidth="1"/>
    <col min="6156" max="6156" width="11.125" style="409" bestFit="1" customWidth="1"/>
    <col min="6157" max="6157" width="17.125" style="409" bestFit="1" customWidth="1"/>
    <col min="6158" max="6158" width="15.625" style="409" bestFit="1" customWidth="1"/>
    <col min="6159" max="6159" width="12.5" style="409" bestFit="1" customWidth="1"/>
    <col min="6160" max="6160" width="2.625" style="409" customWidth="1"/>
    <col min="6161" max="6400" width="9" style="409"/>
    <col min="6401" max="6401" width="2.5" style="409" customWidth="1"/>
    <col min="6402" max="6402" width="21.5" style="409" customWidth="1"/>
    <col min="6403" max="6403" width="11.5" style="409" customWidth="1"/>
    <col min="6404" max="6404" width="14.5" style="409" customWidth="1"/>
    <col min="6405" max="6405" width="15.75" style="409" customWidth="1"/>
    <col min="6406" max="6406" width="18" style="409" customWidth="1"/>
    <col min="6407" max="6407" width="14.75" style="409" customWidth="1"/>
    <col min="6408" max="6408" width="17" style="409" customWidth="1"/>
    <col min="6409" max="6409" width="14.125" style="409" customWidth="1"/>
    <col min="6410" max="6410" width="2.375" style="409" customWidth="1"/>
    <col min="6411" max="6411" width="21" style="409" bestFit="1" customWidth="1"/>
    <col min="6412" max="6412" width="11.125" style="409" bestFit="1" customWidth="1"/>
    <col min="6413" max="6413" width="17.125" style="409" bestFit="1" customWidth="1"/>
    <col min="6414" max="6414" width="15.625" style="409" bestFit="1" customWidth="1"/>
    <col min="6415" max="6415" width="12.5" style="409" bestFit="1" customWidth="1"/>
    <col min="6416" max="6416" width="2.625" style="409" customWidth="1"/>
    <col min="6417" max="6656" width="9" style="409"/>
    <col min="6657" max="6657" width="2.5" style="409" customWidth="1"/>
    <col min="6658" max="6658" width="21.5" style="409" customWidth="1"/>
    <col min="6659" max="6659" width="11.5" style="409" customWidth="1"/>
    <col min="6660" max="6660" width="14.5" style="409" customWidth="1"/>
    <col min="6661" max="6661" width="15.75" style="409" customWidth="1"/>
    <col min="6662" max="6662" width="18" style="409" customWidth="1"/>
    <col min="6663" max="6663" width="14.75" style="409" customWidth="1"/>
    <col min="6664" max="6664" width="17" style="409" customWidth="1"/>
    <col min="6665" max="6665" width="14.125" style="409" customWidth="1"/>
    <col min="6666" max="6666" width="2.375" style="409" customWidth="1"/>
    <col min="6667" max="6667" width="21" style="409" bestFit="1" customWidth="1"/>
    <col min="6668" max="6668" width="11.125" style="409" bestFit="1" customWidth="1"/>
    <col min="6669" max="6669" width="17.125" style="409" bestFit="1" customWidth="1"/>
    <col min="6670" max="6670" width="15.625" style="409" bestFit="1" customWidth="1"/>
    <col min="6671" max="6671" width="12.5" style="409" bestFit="1" customWidth="1"/>
    <col min="6672" max="6672" width="2.625" style="409" customWidth="1"/>
    <col min="6673" max="6912" width="9" style="409"/>
    <col min="6913" max="6913" width="2.5" style="409" customWidth="1"/>
    <col min="6914" max="6914" width="21.5" style="409" customWidth="1"/>
    <col min="6915" max="6915" width="11.5" style="409" customWidth="1"/>
    <col min="6916" max="6916" width="14.5" style="409" customWidth="1"/>
    <col min="6917" max="6917" width="15.75" style="409" customWidth="1"/>
    <col min="6918" max="6918" width="18" style="409" customWidth="1"/>
    <col min="6919" max="6919" width="14.75" style="409" customWidth="1"/>
    <col min="6920" max="6920" width="17" style="409" customWidth="1"/>
    <col min="6921" max="6921" width="14.125" style="409" customWidth="1"/>
    <col min="6922" max="6922" width="2.375" style="409" customWidth="1"/>
    <col min="6923" max="6923" width="21" style="409" bestFit="1" customWidth="1"/>
    <col min="6924" max="6924" width="11.125" style="409" bestFit="1" customWidth="1"/>
    <col min="6925" max="6925" width="17.125" style="409" bestFit="1" customWidth="1"/>
    <col min="6926" max="6926" width="15.625" style="409" bestFit="1" customWidth="1"/>
    <col min="6927" max="6927" width="12.5" style="409" bestFit="1" customWidth="1"/>
    <col min="6928" max="6928" width="2.625" style="409" customWidth="1"/>
    <col min="6929" max="7168" width="9" style="409"/>
    <col min="7169" max="7169" width="2.5" style="409" customWidth="1"/>
    <col min="7170" max="7170" width="21.5" style="409" customWidth="1"/>
    <col min="7171" max="7171" width="11.5" style="409" customWidth="1"/>
    <col min="7172" max="7172" width="14.5" style="409" customWidth="1"/>
    <col min="7173" max="7173" width="15.75" style="409" customWidth="1"/>
    <col min="7174" max="7174" width="18" style="409" customWidth="1"/>
    <col min="7175" max="7175" width="14.75" style="409" customWidth="1"/>
    <col min="7176" max="7176" width="17" style="409" customWidth="1"/>
    <col min="7177" max="7177" width="14.125" style="409" customWidth="1"/>
    <col min="7178" max="7178" width="2.375" style="409" customWidth="1"/>
    <col min="7179" max="7179" width="21" style="409" bestFit="1" customWidth="1"/>
    <col min="7180" max="7180" width="11.125" style="409" bestFit="1" customWidth="1"/>
    <col min="7181" max="7181" width="17.125" style="409" bestFit="1" customWidth="1"/>
    <col min="7182" max="7182" width="15.625" style="409" bestFit="1" customWidth="1"/>
    <col min="7183" max="7183" width="12.5" style="409" bestFit="1" customWidth="1"/>
    <col min="7184" max="7184" width="2.625" style="409" customWidth="1"/>
    <col min="7185" max="7424" width="9" style="409"/>
    <col min="7425" max="7425" width="2.5" style="409" customWidth="1"/>
    <col min="7426" max="7426" width="21.5" style="409" customWidth="1"/>
    <col min="7427" max="7427" width="11.5" style="409" customWidth="1"/>
    <col min="7428" max="7428" width="14.5" style="409" customWidth="1"/>
    <col min="7429" max="7429" width="15.75" style="409" customWidth="1"/>
    <col min="7430" max="7430" width="18" style="409" customWidth="1"/>
    <col min="7431" max="7431" width="14.75" style="409" customWidth="1"/>
    <col min="7432" max="7432" width="17" style="409" customWidth="1"/>
    <col min="7433" max="7433" width="14.125" style="409" customWidth="1"/>
    <col min="7434" max="7434" width="2.375" style="409" customWidth="1"/>
    <col min="7435" max="7435" width="21" style="409" bestFit="1" customWidth="1"/>
    <col min="7436" max="7436" width="11.125" style="409" bestFit="1" customWidth="1"/>
    <col min="7437" max="7437" width="17.125" style="409" bestFit="1" customWidth="1"/>
    <col min="7438" max="7438" width="15.625" style="409" bestFit="1" customWidth="1"/>
    <col min="7439" max="7439" width="12.5" style="409" bestFit="1" customWidth="1"/>
    <col min="7440" max="7440" width="2.625" style="409" customWidth="1"/>
    <col min="7441" max="7680" width="9" style="409"/>
    <col min="7681" max="7681" width="2.5" style="409" customWidth="1"/>
    <col min="7682" max="7682" width="21.5" style="409" customWidth="1"/>
    <col min="7683" max="7683" width="11.5" style="409" customWidth="1"/>
    <col min="7684" max="7684" width="14.5" style="409" customWidth="1"/>
    <col min="7685" max="7685" width="15.75" style="409" customWidth="1"/>
    <col min="7686" max="7686" width="18" style="409" customWidth="1"/>
    <col min="7687" max="7687" width="14.75" style="409" customWidth="1"/>
    <col min="7688" max="7688" width="17" style="409" customWidth="1"/>
    <col min="7689" max="7689" width="14.125" style="409" customWidth="1"/>
    <col min="7690" max="7690" width="2.375" style="409" customWidth="1"/>
    <col min="7691" max="7691" width="21" style="409" bestFit="1" customWidth="1"/>
    <col min="7692" max="7692" width="11.125" style="409" bestFit="1" customWidth="1"/>
    <col min="7693" max="7693" width="17.125" style="409" bestFit="1" customWidth="1"/>
    <col min="7694" max="7694" width="15.625" style="409" bestFit="1" customWidth="1"/>
    <col min="7695" max="7695" width="12.5" style="409" bestFit="1" customWidth="1"/>
    <col min="7696" max="7696" width="2.625" style="409" customWidth="1"/>
    <col min="7697" max="7936" width="9" style="409"/>
    <col min="7937" max="7937" width="2.5" style="409" customWidth="1"/>
    <col min="7938" max="7938" width="21.5" style="409" customWidth="1"/>
    <col min="7939" max="7939" width="11.5" style="409" customWidth="1"/>
    <col min="7940" max="7940" width="14.5" style="409" customWidth="1"/>
    <col min="7941" max="7941" width="15.75" style="409" customWidth="1"/>
    <col min="7942" max="7942" width="18" style="409" customWidth="1"/>
    <col min="7943" max="7943" width="14.75" style="409" customWidth="1"/>
    <col min="7944" max="7944" width="17" style="409" customWidth="1"/>
    <col min="7945" max="7945" width="14.125" style="409" customWidth="1"/>
    <col min="7946" max="7946" width="2.375" style="409" customWidth="1"/>
    <col min="7947" max="7947" width="21" style="409" bestFit="1" customWidth="1"/>
    <col min="7948" max="7948" width="11.125" style="409" bestFit="1" customWidth="1"/>
    <col min="7949" max="7949" width="17.125" style="409" bestFit="1" customWidth="1"/>
    <col min="7950" max="7950" width="15.625" style="409" bestFit="1" customWidth="1"/>
    <col min="7951" max="7951" width="12.5" style="409" bestFit="1" customWidth="1"/>
    <col min="7952" max="7952" width="2.625" style="409" customWidth="1"/>
    <col min="7953" max="8192" width="9" style="409"/>
    <col min="8193" max="8193" width="2.5" style="409" customWidth="1"/>
    <col min="8194" max="8194" width="21.5" style="409" customWidth="1"/>
    <col min="8195" max="8195" width="11.5" style="409" customWidth="1"/>
    <col min="8196" max="8196" width="14.5" style="409" customWidth="1"/>
    <col min="8197" max="8197" width="15.75" style="409" customWidth="1"/>
    <col min="8198" max="8198" width="18" style="409" customWidth="1"/>
    <col min="8199" max="8199" width="14.75" style="409" customWidth="1"/>
    <col min="8200" max="8200" width="17" style="409" customWidth="1"/>
    <col min="8201" max="8201" width="14.125" style="409" customWidth="1"/>
    <col min="8202" max="8202" width="2.375" style="409" customWidth="1"/>
    <col min="8203" max="8203" width="21" style="409" bestFit="1" customWidth="1"/>
    <col min="8204" max="8204" width="11.125" style="409" bestFit="1" customWidth="1"/>
    <col min="8205" max="8205" width="17.125" style="409" bestFit="1" customWidth="1"/>
    <col min="8206" max="8206" width="15.625" style="409" bestFit="1" customWidth="1"/>
    <col min="8207" max="8207" width="12.5" style="409" bestFit="1" customWidth="1"/>
    <col min="8208" max="8208" width="2.625" style="409" customWidth="1"/>
    <col min="8209" max="8448" width="9" style="409"/>
    <col min="8449" max="8449" width="2.5" style="409" customWidth="1"/>
    <col min="8450" max="8450" width="21.5" style="409" customWidth="1"/>
    <col min="8451" max="8451" width="11.5" style="409" customWidth="1"/>
    <col min="8452" max="8452" width="14.5" style="409" customWidth="1"/>
    <col min="8453" max="8453" width="15.75" style="409" customWidth="1"/>
    <col min="8454" max="8454" width="18" style="409" customWidth="1"/>
    <col min="8455" max="8455" width="14.75" style="409" customWidth="1"/>
    <col min="8456" max="8456" width="17" style="409" customWidth="1"/>
    <col min="8457" max="8457" width="14.125" style="409" customWidth="1"/>
    <col min="8458" max="8458" width="2.375" style="409" customWidth="1"/>
    <col min="8459" max="8459" width="21" style="409" bestFit="1" customWidth="1"/>
    <col min="8460" max="8460" width="11.125" style="409" bestFit="1" customWidth="1"/>
    <col min="8461" max="8461" width="17.125" style="409" bestFit="1" customWidth="1"/>
    <col min="8462" max="8462" width="15.625" style="409" bestFit="1" customWidth="1"/>
    <col min="8463" max="8463" width="12.5" style="409" bestFit="1" customWidth="1"/>
    <col min="8464" max="8464" width="2.625" style="409" customWidth="1"/>
    <col min="8465" max="8704" width="9" style="409"/>
    <col min="8705" max="8705" width="2.5" style="409" customWidth="1"/>
    <col min="8706" max="8706" width="21.5" style="409" customWidth="1"/>
    <col min="8707" max="8707" width="11.5" style="409" customWidth="1"/>
    <col min="8708" max="8708" width="14.5" style="409" customWidth="1"/>
    <col min="8709" max="8709" width="15.75" style="409" customWidth="1"/>
    <col min="8710" max="8710" width="18" style="409" customWidth="1"/>
    <col min="8711" max="8711" width="14.75" style="409" customWidth="1"/>
    <col min="8712" max="8712" width="17" style="409" customWidth="1"/>
    <col min="8713" max="8713" width="14.125" style="409" customWidth="1"/>
    <col min="8714" max="8714" width="2.375" style="409" customWidth="1"/>
    <col min="8715" max="8715" width="21" style="409" bestFit="1" customWidth="1"/>
    <col min="8716" max="8716" width="11.125" style="409" bestFit="1" customWidth="1"/>
    <col min="8717" max="8717" width="17.125" style="409" bestFit="1" customWidth="1"/>
    <col min="8718" max="8718" width="15.625" style="409" bestFit="1" customWidth="1"/>
    <col min="8719" max="8719" width="12.5" style="409" bestFit="1" customWidth="1"/>
    <col min="8720" max="8720" width="2.625" style="409" customWidth="1"/>
    <col min="8721" max="8960" width="9" style="409"/>
    <col min="8961" max="8961" width="2.5" style="409" customWidth="1"/>
    <col min="8962" max="8962" width="21.5" style="409" customWidth="1"/>
    <col min="8963" max="8963" width="11.5" style="409" customWidth="1"/>
    <col min="8964" max="8964" width="14.5" style="409" customWidth="1"/>
    <col min="8965" max="8965" width="15.75" style="409" customWidth="1"/>
    <col min="8966" max="8966" width="18" style="409" customWidth="1"/>
    <col min="8967" max="8967" width="14.75" style="409" customWidth="1"/>
    <col min="8968" max="8968" width="17" style="409" customWidth="1"/>
    <col min="8969" max="8969" width="14.125" style="409" customWidth="1"/>
    <col min="8970" max="8970" width="2.375" style="409" customWidth="1"/>
    <col min="8971" max="8971" width="21" style="409" bestFit="1" customWidth="1"/>
    <col min="8972" max="8972" width="11.125" style="409" bestFit="1" customWidth="1"/>
    <col min="8973" max="8973" width="17.125" style="409" bestFit="1" customWidth="1"/>
    <col min="8974" max="8974" width="15.625" style="409" bestFit="1" customWidth="1"/>
    <col min="8975" max="8975" width="12.5" style="409" bestFit="1" customWidth="1"/>
    <col min="8976" max="8976" width="2.625" style="409" customWidth="1"/>
    <col min="8977" max="9216" width="9" style="409"/>
    <col min="9217" max="9217" width="2.5" style="409" customWidth="1"/>
    <col min="9218" max="9218" width="21.5" style="409" customWidth="1"/>
    <col min="9219" max="9219" width="11.5" style="409" customWidth="1"/>
    <col min="9220" max="9220" width="14.5" style="409" customWidth="1"/>
    <col min="9221" max="9221" width="15.75" style="409" customWidth="1"/>
    <col min="9222" max="9222" width="18" style="409" customWidth="1"/>
    <col min="9223" max="9223" width="14.75" style="409" customWidth="1"/>
    <col min="9224" max="9224" width="17" style="409" customWidth="1"/>
    <col min="9225" max="9225" width="14.125" style="409" customWidth="1"/>
    <col min="9226" max="9226" width="2.375" style="409" customWidth="1"/>
    <col min="9227" max="9227" width="21" style="409" bestFit="1" customWidth="1"/>
    <col min="9228" max="9228" width="11.125" style="409" bestFit="1" customWidth="1"/>
    <col min="9229" max="9229" width="17.125" style="409" bestFit="1" customWidth="1"/>
    <col min="9230" max="9230" width="15.625" style="409" bestFit="1" customWidth="1"/>
    <col min="9231" max="9231" width="12.5" style="409" bestFit="1" customWidth="1"/>
    <col min="9232" max="9232" width="2.625" style="409" customWidth="1"/>
    <col min="9233" max="9472" width="9" style="409"/>
    <col min="9473" max="9473" width="2.5" style="409" customWidth="1"/>
    <col min="9474" max="9474" width="21.5" style="409" customWidth="1"/>
    <col min="9475" max="9475" width="11.5" style="409" customWidth="1"/>
    <col min="9476" max="9476" width="14.5" style="409" customWidth="1"/>
    <col min="9477" max="9477" width="15.75" style="409" customWidth="1"/>
    <col min="9478" max="9478" width="18" style="409" customWidth="1"/>
    <col min="9479" max="9479" width="14.75" style="409" customWidth="1"/>
    <col min="9480" max="9480" width="17" style="409" customWidth="1"/>
    <col min="9481" max="9481" width="14.125" style="409" customWidth="1"/>
    <col min="9482" max="9482" width="2.375" style="409" customWidth="1"/>
    <col min="9483" max="9483" width="21" style="409" bestFit="1" customWidth="1"/>
    <col min="9484" max="9484" width="11.125" style="409" bestFit="1" customWidth="1"/>
    <col min="9485" max="9485" width="17.125" style="409" bestFit="1" customWidth="1"/>
    <col min="9486" max="9486" width="15.625" style="409" bestFit="1" customWidth="1"/>
    <col min="9487" max="9487" width="12.5" style="409" bestFit="1" customWidth="1"/>
    <col min="9488" max="9488" width="2.625" style="409" customWidth="1"/>
    <col min="9489" max="9728" width="9" style="409"/>
    <col min="9729" max="9729" width="2.5" style="409" customWidth="1"/>
    <col min="9730" max="9730" width="21.5" style="409" customWidth="1"/>
    <col min="9731" max="9731" width="11.5" style="409" customWidth="1"/>
    <col min="9732" max="9732" width="14.5" style="409" customWidth="1"/>
    <col min="9733" max="9733" width="15.75" style="409" customWidth="1"/>
    <col min="9734" max="9734" width="18" style="409" customWidth="1"/>
    <col min="9735" max="9735" width="14.75" style="409" customWidth="1"/>
    <col min="9736" max="9736" width="17" style="409" customWidth="1"/>
    <col min="9737" max="9737" width="14.125" style="409" customWidth="1"/>
    <col min="9738" max="9738" width="2.375" style="409" customWidth="1"/>
    <col min="9739" max="9739" width="21" style="409" bestFit="1" customWidth="1"/>
    <col min="9740" max="9740" width="11.125" style="409" bestFit="1" customWidth="1"/>
    <col min="9741" max="9741" width="17.125" style="409" bestFit="1" customWidth="1"/>
    <col min="9742" max="9742" width="15.625" style="409" bestFit="1" customWidth="1"/>
    <col min="9743" max="9743" width="12.5" style="409" bestFit="1" customWidth="1"/>
    <col min="9744" max="9744" width="2.625" style="409" customWidth="1"/>
    <col min="9745" max="9984" width="9" style="409"/>
    <col min="9985" max="9985" width="2.5" style="409" customWidth="1"/>
    <col min="9986" max="9986" width="21.5" style="409" customWidth="1"/>
    <col min="9987" max="9987" width="11.5" style="409" customWidth="1"/>
    <col min="9988" max="9988" width="14.5" style="409" customWidth="1"/>
    <col min="9989" max="9989" width="15.75" style="409" customWidth="1"/>
    <col min="9990" max="9990" width="18" style="409" customWidth="1"/>
    <col min="9991" max="9991" width="14.75" style="409" customWidth="1"/>
    <col min="9992" max="9992" width="17" style="409" customWidth="1"/>
    <col min="9993" max="9993" width="14.125" style="409" customWidth="1"/>
    <col min="9994" max="9994" width="2.375" style="409" customWidth="1"/>
    <col min="9995" max="9995" width="21" style="409" bestFit="1" customWidth="1"/>
    <col min="9996" max="9996" width="11.125" style="409" bestFit="1" customWidth="1"/>
    <col min="9997" max="9997" width="17.125" style="409" bestFit="1" customWidth="1"/>
    <col min="9998" max="9998" width="15.625" style="409" bestFit="1" customWidth="1"/>
    <col min="9999" max="9999" width="12.5" style="409" bestFit="1" customWidth="1"/>
    <col min="10000" max="10000" width="2.625" style="409" customWidth="1"/>
    <col min="10001" max="10240" width="9" style="409"/>
    <col min="10241" max="10241" width="2.5" style="409" customWidth="1"/>
    <col min="10242" max="10242" width="21.5" style="409" customWidth="1"/>
    <col min="10243" max="10243" width="11.5" style="409" customWidth="1"/>
    <col min="10244" max="10244" width="14.5" style="409" customWidth="1"/>
    <col min="10245" max="10245" width="15.75" style="409" customWidth="1"/>
    <col min="10246" max="10246" width="18" style="409" customWidth="1"/>
    <col min="10247" max="10247" width="14.75" style="409" customWidth="1"/>
    <col min="10248" max="10248" width="17" style="409" customWidth="1"/>
    <col min="10249" max="10249" width="14.125" style="409" customWidth="1"/>
    <col min="10250" max="10250" width="2.375" style="409" customWidth="1"/>
    <col min="10251" max="10251" width="21" style="409" bestFit="1" customWidth="1"/>
    <col min="10252" max="10252" width="11.125" style="409" bestFit="1" customWidth="1"/>
    <col min="10253" max="10253" width="17.125" style="409" bestFit="1" customWidth="1"/>
    <col min="10254" max="10254" width="15.625" style="409" bestFit="1" customWidth="1"/>
    <col min="10255" max="10255" width="12.5" style="409" bestFit="1" customWidth="1"/>
    <col min="10256" max="10256" width="2.625" style="409" customWidth="1"/>
    <col min="10257" max="10496" width="9" style="409"/>
    <col min="10497" max="10497" width="2.5" style="409" customWidth="1"/>
    <col min="10498" max="10498" width="21.5" style="409" customWidth="1"/>
    <col min="10499" max="10499" width="11.5" style="409" customWidth="1"/>
    <col min="10500" max="10500" width="14.5" style="409" customWidth="1"/>
    <col min="10501" max="10501" width="15.75" style="409" customWidth="1"/>
    <col min="10502" max="10502" width="18" style="409" customWidth="1"/>
    <col min="10503" max="10503" width="14.75" style="409" customWidth="1"/>
    <col min="10504" max="10504" width="17" style="409" customWidth="1"/>
    <col min="10505" max="10505" width="14.125" style="409" customWidth="1"/>
    <col min="10506" max="10506" width="2.375" style="409" customWidth="1"/>
    <col min="10507" max="10507" width="21" style="409" bestFit="1" customWidth="1"/>
    <col min="10508" max="10508" width="11.125" style="409" bestFit="1" customWidth="1"/>
    <col min="10509" max="10509" width="17.125" style="409" bestFit="1" customWidth="1"/>
    <col min="10510" max="10510" width="15.625" style="409" bestFit="1" customWidth="1"/>
    <col min="10511" max="10511" width="12.5" style="409" bestFit="1" customWidth="1"/>
    <col min="10512" max="10512" width="2.625" style="409" customWidth="1"/>
    <col min="10513" max="10752" width="9" style="409"/>
    <col min="10753" max="10753" width="2.5" style="409" customWidth="1"/>
    <col min="10754" max="10754" width="21.5" style="409" customWidth="1"/>
    <col min="10755" max="10755" width="11.5" style="409" customWidth="1"/>
    <col min="10756" max="10756" width="14.5" style="409" customWidth="1"/>
    <col min="10757" max="10757" width="15.75" style="409" customWidth="1"/>
    <col min="10758" max="10758" width="18" style="409" customWidth="1"/>
    <col min="10759" max="10759" width="14.75" style="409" customWidth="1"/>
    <col min="10760" max="10760" width="17" style="409" customWidth="1"/>
    <col min="10761" max="10761" width="14.125" style="409" customWidth="1"/>
    <col min="10762" max="10762" width="2.375" style="409" customWidth="1"/>
    <col min="10763" max="10763" width="21" style="409" bestFit="1" customWidth="1"/>
    <col min="10764" max="10764" width="11.125" style="409" bestFit="1" customWidth="1"/>
    <col min="10765" max="10765" width="17.125" style="409" bestFit="1" customWidth="1"/>
    <col min="10766" max="10766" width="15.625" style="409" bestFit="1" customWidth="1"/>
    <col min="10767" max="10767" width="12.5" style="409" bestFit="1" customWidth="1"/>
    <col min="10768" max="10768" width="2.625" style="409" customWidth="1"/>
    <col min="10769" max="11008" width="9" style="409"/>
    <col min="11009" max="11009" width="2.5" style="409" customWidth="1"/>
    <col min="11010" max="11010" width="21.5" style="409" customWidth="1"/>
    <col min="11011" max="11011" width="11.5" style="409" customWidth="1"/>
    <col min="11012" max="11012" width="14.5" style="409" customWidth="1"/>
    <col min="11013" max="11013" width="15.75" style="409" customWidth="1"/>
    <col min="11014" max="11014" width="18" style="409" customWidth="1"/>
    <col min="11015" max="11015" width="14.75" style="409" customWidth="1"/>
    <col min="11016" max="11016" width="17" style="409" customWidth="1"/>
    <col min="11017" max="11017" width="14.125" style="409" customWidth="1"/>
    <col min="11018" max="11018" width="2.375" style="409" customWidth="1"/>
    <col min="11019" max="11019" width="21" style="409" bestFit="1" customWidth="1"/>
    <col min="11020" max="11020" width="11.125" style="409" bestFit="1" customWidth="1"/>
    <col min="11021" max="11021" width="17.125" style="409" bestFit="1" customWidth="1"/>
    <col min="11022" max="11022" width="15.625" style="409" bestFit="1" customWidth="1"/>
    <col min="11023" max="11023" width="12.5" style="409" bestFit="1" customWidth="1"/>
    <col min="11024" max="11024" width="2.625" style="409" customWidth="1"/>
    <col min="11025" max="11264" width="9" style="409"/>
    <col min="11265" max="11265" width="2.5" style="409" customWidth="1"/>
    <col min="11266" max="11266" width="21.5" style="409" customWidth="1"/>
    <col min="11267" max="11267" width="11.5" style="409" customWidth="1"/>
    <col min="11268" max="11268" width="14.5" style="409" customWidth="1"/>
    <col min="11269" max="11269" width="15.75" style="409" customWidth="1"/>
    <col min="11270" max="11270" width="18" style="409" customWidth="1"/>
    <col min="11271" max="11271" width="14.75" style="409" customWidth="1"/>
    <col min="11272" max="11272" width="17" style="409" customWidth="1"/>
    <col min="11273" max="11273" width="14.125" style="409" customWidth="1"/>
    <col min="11274" max="11274" width="2.375" style="409" customWidth="1"/>
    <col min="11275" max="11275" width="21" style="409" bestFit="1" customWidth="1"/>
    <col min="11276" max="11276" width="11.125" style="409" bestFit="1" customWidth="1"/>
    <col min="11277" max="11277" width="17.125" style="409" bestFit="1" customWidth="1"/>
    <col min="11278" max="11278" width="15.625" style="409" bestFit="1" customWidth="1"/>
    <col min="11279" max="11279" width="12.5" style="409" bestFit="1" customWidth="1"/>
    <col min="11280" max="11280" width="2.625" style="409" customWidth="1"/>
    <col min="11281" max="11520" width="9" style="409"/>
    <col min="11521" max="11521" width="2.5" style="409" customWidth="1"/>
    <col min="11522" max="11522" width="21.5" style="409" customWidth="1"/>
    <col min="11523" max="11523" width="11.5" style="409" customWidth="1"/>
    <col min="11524" max="11524" width="14.5" style="409" customWidth="1"/>
    <col min="11525" max="11525" width="15.75" style="409" customWidth="1"/>
    <col min="11526" max="11526" width="18" style="409" customWidth="1"/>
    <col min="11527" max="11527" width="14.75" style="409" customWidth="1"/>
    <col min="11528" max="11528" width="17" style="409" customWidth="1"/>
    <col min="11529" max="11529" width="14.125" style="409" customWidth="1"/>
    <col min="11530" max="11530" width="2.375" style="409" customWidth="1"/>
    <col min="11531" max="11531" width="21" style="409" bestFit="1" customWidth="1"/>
    <col min="11532" max="11532" width="11.125" style="409" bestFit="1" customWidth="1"/>
    <col min="11533" max="11533" width="17.125" style="409" bestFit="1" customWidth="1"/>
    <col min="11534" max="11534" width="15.625" style="409" bestFit="1" customWidth="1"/>
    <col min="11535" max="11535" width="12.5" style="409" bestFit="1" customWidth="1"/>
    <col min="11536" max="11536" width="2.625" style="409" customWidth="1"/>
    <col min="11537" max="11776" width="9" style="409"/>
    <col min="11777" max="11777" width="2.5" style="409" customWidth="1"/>
    <col min="11778" max="11778" width="21.5" style="409" customWidth="1"/>
    <col min="11779" max="11779" width="11.5" style="409" customWidth="1"/>
    <col min="11780" max="11780" width="14.5" style="409" customWidth="1"/>
    <col min="11781" max="11781" width="15.75" style="409" customWidth="1"/>
    <col min="11782" max="11782" width="18" style="409" customWidth="1"/>
    <col min="11783" max="11783" width="14.75" style="409" customWidth="1"/>
    <col min="11784" max="11784" width="17" style="409" customWidth="1"/>
    <col min="11785" max="11785" width="14.125" style="409" customWidth="1"/>
    <col min="11786" max="11786" width="2.375" style="409" customWidth="1"/>
    <col min="11787" max="11787" width="21" style="409" bestFit="1" customWidth="1"/>
    <col min="11788" max="11788" width="11.125" style="409" bestFit="1" customWidth="1"/>
    <col min="11789" max="11789" width="17.125" style="409" bestFit="1" customWidth="1"/>
    <col min="11790" max="11790" width="15.625" style="409" bestFit="1" customWidth="1"/>
    <col min="11791" max="11791" width="12.5" style="409" bestFit="1" customWidth="1"/>
    <col min="11792" max="11792" width="2.625" style="409" customWidth="1"/>
    <col min="11793" max="12032" width="9" style="409"/>
    <col min="12033" max="12033" width="2.5" style="409" customWidth="1"/>
    <col min="12034" max="12034" width="21.5" style="409" customWidth="1"/>
    <col min="12035" max="12035" width="11.5" style="409" customWidth="1"/>
    <col min="12036" max="12036" width="14.5" style="409" customWidth="1"/>
    <col min="12037" max="12037" width="15.75" style="409" customWidth="1"/>
    <col min="12038" max="12038" width="18" style="409" customWidth="1"/>
    <col min="12039" max="12039" width="14.75" style="409" customWidth="1"/>
    <col min="12040" max="12040" width="17" style="409" customWidth="1"/>
    <col min="12041" max="12041" width="14.125" style="409" customWidth="1"/>
    <col min="12042" max="12042" width="2.375" style="409" customWidth="1"/>
    <col min="12043" max="12043" width="21" style="409" bestFit="1" customWidth="1"/>
    <col min="12044" max="12044" width="11.125" style="409" bestFit="1" customWidth="1"/>
    <col min="12045" max="12045" width="17.125" style="409" bestFit="1" customWidth="1"/>
    <col min="12046" max="12046" width="15.625" style="409" bestFit="1" customWidth="1"/>
    <col min="12047" max="12047" width="12.5" style="409" bestFit="1" customWidth="1"/>
    <col min="12048" max="12048" width="2.625" style="409" customWidth="1"/>
    <col min="12049" max="12288" width="9" style="409"/>
    <col min="12289" max="12289" width="2.5" style="409" customWidth="1"/>
    <col min="12290" max="12290" width="21.5" style="409" customWidth="1"/>
    <col min="12291" max="12291" width="11.5" style="409" customWidth="1"/>
    <col min="12292" max="12292" width="14.5" style="409" customWidth="1"/>
    <col min="12293" max="12293" width="15.75" style="409" customWidth="1"/>
    <col min="12294" max="12294" width="18" style="409" customWidth="1"/>
    <col min="12295" max="12295" width="14.75" style="409" customWidth="1"/>
    <col min="12296" max="12296" width="17" style="409" customWidth="1"/>
    <col min="12297" max="12297" width="14.125" style="409" customWidth="1"/>
    <col min="12298" max="12298" width="2.375" style="409" customWidth="1"/>
    <col min="12299" max="12299" width="21" style="409" bestFit="1" customWidth="1"/>
    <col min="12300" max="12300" width="11.125" style="409" bestFit="1" customWidth="1"/>
    <col min="12301" max="12301" width="17.125" style="409" bestFit="1" customWidth="1"/>
    <col min="12302" max="12302" width="15.625" style="409" bestFit="1" customWidth="1"/>
    <col min="12303" max="12303" width="12.5" style="409" bestFit="1" customWidth="1"/>
    <col min="12304" max="12304" width="2.625" style="409" customWidth="1"/>
    <col min="12305" max="12544" width="9" style="409"/>
    <col min="12545" max="12545" width="2.5" style="409" customWidth="1"/>
    <col min="12546" max="12546" width="21.5" style="409" customWidth="1"/>
    <col min="12547" max="12547" width="11.5" style="409" customWidth="1"/>
    <col min="12548" max="12548" width="14.5" style="409" customWidth="1"/>
    <col min="12549" max="12549" width="15.75" style="409" customWidth="1"/>
    <col min="12550" max="12550" width="18" style="409" customWidth="1"/>
    <col min="12551" max="12551" width="14.75" style="409" customWidth="1"/>
    <col min="12552" max="12552" width="17" style="409" customWidth="1"/>
    <col min="12553" max="12553" width="14.125" style="409" customWidth="1"/>
    <col min="12554" max="12554" width="2.375" style="409" customWidth="1"/>
    <col min="12555" max="12555" width="21" style="409" bestFit="1" customWidth="1"/>
    <col min="12556" max="12556" width="11.125" style="409" bestFit="1" customWidth="1"/>
    <col min="12557" max="12557" width="17.125" style="409" bestFit="1" customWidth="1"/>
    <col min="12558" max="12558" width="15.625" style="409" bestFit="1" customWidth="1"/>
    <col min="12559" max="12559" width="12.5" style="409" bestFit="1" customWidth="1"/>
    <col min="12560" max="12560" width="2.625" style="409" customWidth="1"/>
    <col min="12561" max="12800" width="9" style="409"/>
    <col min="12801" max="12801" width="2.5" style="409" customWidth="1"/>
    <col min="12802" max="12802" width="21.5" style="409" customWidth="1"/>
    <col min="12803" max="12803" width="11.5" style="409" customWidth="1"/>
    <col min="12804" max="12804" width="14.5" style="409" customWidth="1"/>
    <col min="12805" max="12805" width="15.75" style="409" customWidth="1"/>
    <col min="12806" max="12806" width="18" style="409" customWidth="1"/>
    <col min="12807" max="12807" width="14.75" style="409" customWidth="1"/>
    <col min="12808" max="12808" width="17" style="409" customWidth="1"/>
    <col min="12809" max="12809" width="14.125" style="409" customWidth="1"/>
    <col min="12810" max="12810" width="2.375" style="409" customWidth="1"/>
    <col min="12811" max="12811" width="21" style="409" bestFit="1" customWidth="1"/>
    <col min="12812" max="12812" width="11.125" style="409" bestFit="1" customWidth="1"/>
    <col min="12813" max="12813" width="17.125" style="409" bestFit="1" customWidth="1"/>
    <col min="12814" max="12814" width="15.625" style="409" bestFit="1" customWidth="1"/>
    <col min="12815" max="12815" width="12.5" style="409" bestFit="1" customWidth="1"/>
    <col min="12816" max="12816" width="2.625" style="409" customWidth="1"/>
    <col min="12817" max="13056" width="9" style="409"/>
    <col min="13057" max="13057" width="2.5" style="409" customWidth="1"/>
    <col min="13058" max="13058" width="21.5" style="409" customWidth="1"/>
    <col min="13059" max="13059" width="11.5" style="409" customWidth="1"/>
    <col min="13060" max="13060" width="14.5" style="409" customWidth="1"/>
    <col min="13061" max="13061" width="15.75" style="409" customWidth="1"/>
    <col min="13062" max="13062" width="18" style="409" customWidth="1"/>
    <col min="13063" max="13063" width="14.75" style="409" customWidth="1"/>
    <col min="13064" max="13064" width="17" style="409" customWidth="1"/>
    <col min="13065" max="13065" width="14.125" style="409" customWidth="1"/>
    <col min="13066" max="13066" width="2.375" style="409" customWidth="1"/>
    <col min="13067" max="13067" width="21" style="409" bestFit="1" customWidth="1"/>
    <col min="13068" max="13068" width="11.125" style="409" bestFit="1" customWidth="1"/>
    <col min="13069" max="13069" width="17.125" style="409" bestFit="1" customWidth="1"/>
    <col min="13070" max="13070" width="15.625" style="409" bestFit="1" customWidth="1"/>
    <col min="13071" max="13071" width="12.5" style="409" bestFit="1" customWidth="1"/>
    <col min="13072" max="13072" width="2.625" style="409" customWidth="1"/>
    <col min="13073" max="13312" width="9" style="409"/>
    <col min="13313" max="13313" width="2.5" style="409" customWidth="1"/>
    <col min="13314" max="13314" width="21.5" style="409" customWidth="1"/>
    <col min="13315" max="13315" width="11.5" style="409" customWidth="1"/>
    <col min="13316" max="13316" width="14.5" style="409" customWidth="1"/>
    <col min="13317" max="13317" width="15.75" style="409" customWidth="1"/>
    <col min="13318" max="13318" width="18" style="409" customWidth="1"/>
    <col min="13319" max="13319" width="14.75" style="409" customWidth="1"/>
    <col min="13320" max="13320" width="17" style="409" customWidth="1"/>
    <col min="13321" max="13321" width="14.125" style="409" customWidth="1"/>
    <col min="13322" max="13322" width="2.375" style="409" customWidth="1"/>
    <col min="13323" max="13323" width="21" style="409" bestFit="1" customWidth="1"/>
    <col min="13324" max="13324" width="11.125" style="409" bestFit="1" customWidth="1"/>
    <col min="13325" max="13325" width="17.125" style="409" bestFit="1" customWidth="1"/>
    <col min="13326" max="13326" width="15.625" style="409" bestFit="1" customWidth="1"/>
    <col min="13327" max="13327" width="12.5" style="409" bestFit="1" customWidth="1"/>
    <col min="13328" max="13328" width="2.625" style="409" customWidth="1"/>
    <col min="13329" max="13568" width="9" style="409"/>
    <col min="13569" max="13569" width="2.5" style="409" customWidth="1"/>
    <col min="13570" max="13570" width="21.5" style="409" customWidth="1"/>
    <col min="13571" max="13571" width="11.5" style="409" customWidth="1"/>
    <col min="13572" max="13572" width="14.5" style="409" customWidth="1"/>
    <col min="13573" max="13573" width="15.75" style="409" customWidth="1"/>
    <col min="13574" max="13574" width="18" style="409" customWidth="1"/>
    <col min="13575" max="13575" width="14.75" style="409" customWidth="1"/>
    <col min="13576" max="13576" width="17" style="409" customWidth="1"/>
    <col min="13577" max="13577" width="14.125" style="409" customWidth="1"/>
    <col min="13578" max="13578" width="2.375" style="409" customWidth="1"/>
    <col min="13579" max="13579" width="21" style="409" bestFit="1" customWidth="1"/>
    <col min="13580" max="13580" width="11.125" style="409" bestFit="1" customWidth="1"/>
    <col min="13581" max="13581" width="17.125" style="409" bestFit="1" customWidth="1"/>
    <col min="13582" max="13582" width="15.625" style="409" bestFit="1" customWidth="1"/>
    <col min="13583" max="13583" width="12.5" style="409" bestFit="1" customWidth="1"/>
    <col min="13584" max="13584" width="2.625" style="409" customWidth="1"/>
    <col min="13585" max="13824" width="9" style="409"/>
    <col min="13825" max="13825" width="2.5" style="409" customWidth="1"/>
    <col min="13826" max="13826" width="21.5" style="409" customWidth="1"/>
    <col min="13827" max="13827" width="11.5" style="409" customWidth="1"/>
    <col min="13828" max="13828" width="14.5" style="409" customWidth="1"/>
    <col min="13829" max="13829" width="15.75" style="409" customWidth="1"/>
    <col min="13830" max="13830" width="18" style="409" customWidth="1"/>
    <col min="13831" max="13831" width="14.75" style="409" customWidth="1"/>
    <col min="13832" max="13832" width="17" style="409" customWidth="1"/>
    <col min="13833" max="13833" width="14.125" style="409" customWidth="1"/>
    <col min="13834" max="13834" width="2.375" style="409" customWidth="1"/>
    <col min="13835" max="13835" width="21" style="409" bestFit="1" customWidth="1"/>
    <col min="13836" max="13836" width="11.125" style="409" bestFit="1" customWidth="1"/>
    <col min="13837" max="13837" width="17.125" style="409" bestFit="1" customWidth="1"/>
    <col min="13838" max="13838" width="15.625" style="409" bestFit="1" customWidth="1"/>
    <col min="13839" max="13839" width="12.5" style="409" bestFit="1" customWidth="1"/>
    <col min="13840" max="13840" width="2.625" style="409" customWidth="1"/>
    <col min="13841" max="14080" width="9" style="409"/>
    <col min="14081" max="14081" width="2.5" style="409" customWidth="1"/>
    <col min="14082" max="14082" width="21.5" style="409" customWidth="1"/>
    <col min="14083" max="14083" width="11.5" style="409" customWidth="1"/>
    <col min="14084" max="14084" width="14.5" style="409" customWidth="1"/>
    <col min="14085" max="14085" width="15.75" style="409" customWidth="1"/>
    <col min="14086" max="14086" width="18" style="409" customWidth="1"/>
    <col min="14087" max="14087" width="14.75" style="409" customWidth="1"/>
    <col min="14088" max="14088" width="17" style="409" customWidth="1"/>
    <col min="14089" max="14089" width="14.125" style="409" customWidth="1"/>
    <col min="14090" max="14090" width="2.375" style="409" customWidth="1"/>
    <col min="14091" max="14091" width="21" style="409" bestFit="1" customWidth="1"/>
    <col min="14092" max="14092" width="11.125" style="409" bestFit="1" customWidth="1"/>
    <col min="14093" max="14093" width="17.125" style="409" bestFit="1" customWidth="1"/>
    <col min="14094" max="14094" width="15.625" style="409" bestFit="1" customWidth="1"/>
    <col min="14095" max="14095" width="12.5" style="409" bestFit="1" customWidth="1"/>
    <col min="14096" max="14096" width="2.625" style="409" customWidth="1"/>
    <col min="14097" max="14336" width="9" style="409"/>
    <col min="14337" max="14337" width="2.5" style="409" customWidth="1"/>
    <col min="14338" max="14338" width="21.5" style="409" customWidth="1"/>
    <col min="14339" max="14339" width="11.5" style="409" customWidth="1"/>
    <col min="14340" max="14340" width="14.5" style="409" customWidth="1"/>
    <col min="14341" max="14341" width="15.75" style="409" customWidth="1"/>
    <col min="14342" max="14342" width="18" style="409" customWidth="1"/>
    <col min="14343" max="14343" width="14.75" style="409" customWidth="1"/>
    <col min="14344" max="14344" width="17" style="409" customWidth="1"/>
    <col min="14345" max="14345" width="14.125" style="409" customWidth="1"/>
    <col min="14346" max="14346" width="2.375" style="409" customWidth="1"/>
    <col min="14347" max="14347" width="21" style="409" bestFit="1" customWidth="1"/>
    <col min="14348" max="14348" width="11.125" style="409" bestFit="1" customWidth="1"/>
    <col min="14349" max="14349" width="17.125" style="409" bestFit="1" customWidth="1"/>
    <col min="14350" max="14350" width="15.625" style="409" bestFit="1" customWidth="1"/>
    <col min="14351" max="14351" width="12.5" style="409" bestFit="1" customWidth="1"/>
    <col min="14352" max="14352" width="2.625" style="409" customWidth="1"/>
    <col min="14353" max="14592" width="9" style="409"/>
    <col min="14593" max="14593" width="2.5" style="409" customWidth="1"/>
    <col min="14594" max="14594" width="21.5" style="409" customWidth="1"/>
    <col min="14595" max="14595" width="11.5" style="409" customWidth="1"/>
    <col min="14596" max="14596" width="14.5" style="409" customWidth="1"/>
    <col min="14597" max="14597" width="15.75" style="409" customWidth="1"/>
    <col min="14598" max="14598" width="18" style="409" customWidth="1"/>
    <col min="14599" max="14599" width="14.75" style="409" customWidth="1"/>
    <col min="14600" max="14600" width="17" style="409" customWidth="1"/>
    <col min="14601" max="14601" width="14.125" style="409" customWidth="1"/>
    <col min="14602" max="14602" width="2.375" style="409" customWidth="1"/>
    <col min="14603" max="14603" width="21" style="409" bestFit="1" customWidth="1"/>
    <col min="14604" max="14604" width="11.125" style="409" bestFit="1" customWidth="1"/>
    <col min="14605" max="14605" width="17.125" style="409" bestFit="1" customWidth="1"/>
    <col min="14606" max="14606" width="15.625" style="409" bestFit="1" customWidth="1"/>
    <col min="14607" max="14607" width="12.5" style="409" bestFit="1" customWidth="1"/>
    <col min="14608" max="14608" width="2.625" style="409" customWidth="1"/>
    <col min="14609" max="14848" width="9" style="409"/>
    <col min="14849" max="14849" width="2.5" style="409" customWidth="1"/>
    <col min="14850" max="14850" width="21.5" style="409" customWidth="1"/>
    <col min="14851" max="14851" width="11.5" style="409" customWidth="1"/>
    <col min="14852" max="14852" width="14.5" style="409" customWidth="1"/>
    <col min="14853" max="14853" width="15.75" style="409" customWidth="1"/>
    <col min="14854" max="14854" width="18" style="409" customWidth="1"/>
    <col min="14855" max="14855" width="14.75" style="409" customWidth="1"/>
    <col min="14856" max="14856" width="17" style="409" customWidth="1"/>
    <col min="14857" max="14857" width="14.125" style="409" customWidth="1"/>
    <col min="14858" max="14858" width="2.375" style="409" customWidth="1"/>
    <col min="14859" max="14859" width="21" style="409" bestFit="1" customWidth="1"/>
    <col min="14860" max="14860" width="11.125" style="409" bestFit="1" customWidth="1"/>
    <col min="14861" max="14861" width="17.125" style="409" bestFit="1" customWidth="1"/>
    <col min="14862" max="14862" width="15.625" style="409" bestFit="1" customWidth="1"/>
    <col min="14863" max="14863" width="12.5" style="409" bestFit="1" customWidth="1"/>
    <col min="14864" max="14864" width="2.625" style="409" customWidth="1"/>
    <col min="14865" max="15104" width="9" style="409"/>
    <col min="15105" max="15105" width="2.5" style="409" customWidth="1"/>
    <col min="15106" max="15106" width="21.5" style="409" customWidth="1"/>
    <col min="15107" max="15107" width="11.5" style="409" customWidth="1"/>
    <col min="15108" max="15108" width="14.5" style="409" customWidth="1"/>
    <col min="15109" max="15109" width="15.75" style="409" customWidth="1"/>
    <col min="15110" max="15110" width="18" style="409" customWidth="1"/>
    <col min="15111" max="15111" width="14.75" style="409" customWidth="1"/>
    <col min="15112" max="15112" width="17" style="409" customWidth="1"/>
    <col min="15113" max="15113" width="14.125" style="409" customWidth="1"/>
    <col min="15114" max="15114" width="2.375" style="409" customWidth="1"/>
    <col min="15115" max="15115" width="21" style="409" bestFit="1" customWidth="1"/>
    <col min="15116" max="15116" width="11.125" style="409" bestFit="1" customWidth="1"/>
    <col min="15117" max="15117" width="17.125" style="409" bestFit="1" customWidth="1"/>
    <col min="15118" max="15118" width="15.625" style="409" bestFit="1" customWidth="1"/>
    <col min="15119" max="15119" width="12.5" style="409" bestFit="1" customWidth="1"/>
    <col min="15120" max="15120" width="2.625" style="409" customWidth="1"/>
    <col min="15121" max="15360" width="9" style="409"/>
    <col min="15361" max="15361" width="2.5" style="409" customWidth="1"/>
    <col min="15362" max="15362" width="21.5" style="409" customWidth="1"/>
    <col min="15363" max="15363" width="11.5" style="409" customWidth="1"/>
    <col min="15364" max="15364" width="14.5" style="409" customWidth="1"/>
    <col min="15365" max="15365" width="15.75" style="409" customWidth="1"/>
    <col min="15366" max="15366" width="18" style="409" customWidth="1"/>
    <col min="15367" max="15367" width="14.75" style="409" customWidth="1"/>
    <col min="15368" max="15368" width="17" style="409" customWidth="1"/>
    <col min="15369" max="15369" width="14.125" style="409" customWidth="1"/>
    <col min="15370" max="15370" width="2.375" style="409" customWidth="1"/>
    <col min="15371" max="15371" width="21" style="409" bestFit="1" customWidth="1"/>
    <col min="15372" max="15372" width="11.125" style="409" bestFit="1" customWidth="1"/>
    <col min="15373" max="15373" width="17.125" style="409" bestFit="1" customWidth="1"/>
    <col min="15374" max="15374" width="15.625" style="409" bestFit="1" customWidth="1"/>
    <col min="15375" max="15375" width="12.5" style="409" bestFit="1" customWidth="1"/>
    <col min="15376" max="15376" width="2.625" style="409" customWidth="1"/>
    <col min="15377" max="15616" width="9" style="409"/>
    <col min="15617" max="15617" width="2.5" style="409" customWidth="1"/>
    <col min="15618" max="15618" width="21.5" style="409" customWidth="1"/>
    <col min="15619" max="15619" width="11.5" style="409" customWidth="1"/>
    <col min="15620" max="15620" width="14.5" style="409" customWidth="1"/>
    <col min="15621" max="15621" width="15.75" style="409" customWidth="1"/>
    <col min="15622" max="15622" width="18" style="409" customWidth="1"/>
    <col min="15623" max="15623" width="14.75" style="409" customWidth="1"/>
    <col min="15624" max="15624" width="17" style="409" customWidth="1"/>
    <col min="15625" max="15625" width="14.125" style="409" customWidth="1"/>
    <col min="15626" max="15626" width="2.375" style="409" customWidth="1"/>
    <col min="15627" max="15627" width="21" style="409" bestFit="1" customWidth="1"/>
    <col min="15628" max="15628" width="11.125" style="409" bestFit="1" customWidth="1"/>
    <col min="15629" max="15629" width="17.125" style="409" bestFit="1" customWidth="1"/>
    <col min="15630" max="15630" width="15.625" style="409" bestFit="1" customWidth="1"/>
    <col min="15631" max="15631" width="12.5" style="409" bestFit="1" customWidth="1"/>
    <col min="15632" max="15632" width="2.625" style="409" customWidth="1"/>
    <col min="15633" max="15872" width="9" style="409"/>
    <col min="15873" max="15873" width="2.5" style="409" customWidth="1"/>
    <col min="15874" max="15874" width="21.5" style="409" customWidth="1"/>
    <col min="15875" max="15875" width="11.5" style="409" customWidth="1"/>
    <col min="15876" max="15876" width="14.5" style="409" customWidth="1"/>
    <col min="15877" max="15877" width="15.75" style="409" customWidth="1"/>
    <col min="15878" max="15878" width="18" style="409" customWidth="1"/>
    <col min="15879" max="15879" width="14.75" style="409" customWidth="1"/>
    <col min="15880" max="15880" width="17" style="409" customWidth="1"/>
    <col min="15881" max="15881" width="14.125" style="409" customWidth="1"/>
    <col min="15882" max="15882" width="2.375" style="409" customWidth="1"/>
    <col min="15883" max="15883" width="21" style="409" bestFit="1" customWidth="1"/>
    <col min="15884" max="15884" width="11.125" style="409" bestFit="1" customWidth="1"/>
    <col min="15885" max="15885" width="17.125" style="409" bestFit="1" customWidth="1"/>
    <col min="15886" max="15886" width="15.625" style="409" bestFit="1" customWidth="1"/>
    <col min="15887" max="15887" width="12.5" style="409" bestFit="1" customWidth="1"/>
    <col min="15888" max="15888" width="2.625" style="409" customWidth="1"/>
    <col min="15889" max="16128" width="9" style="409"/>
    <col min="16129" max="16129" width="2.5" style="409" customWidth="1"/>
    <col min="16130" max="16130" width="21.5" style="409" customWidth="1"/>
    <col min="16131" max="16131" width="11.5" style="409" customWidth="1"/>
    <col min="16132" max="16132" width="14.5" style="409" customWidth="1"/>
    <col min="16133" max="16133" width="15.75" style="409" customWidth="1"/>
    <col min="16134" max="16134" width="18" style="409" customWidth="1"/>
    <col min="16135" max="16135" width="14.75" style="409" customWidth="1"/>
    <col min="16136" max="16136" width="17" style="409" customWidth="1"/>
    <col min="16137" max="16137" width="14.125" style="409" customWidth="1"/>
    <col min="16138" max="16138" width="2.375" style="409" customWidth="1"/>
    <col min="16139" max="16139" width="21" style="409" bestFit="1" customWidth="1"/>
    <col min="16140" max="16140" width="11.125" style="409" bestFit="1" customWidth="1"/>
    <col min="16141" max="16141" width="17.125" style="409" bestFit="1" customWidth="1"/>
    <col min="16142" max="16142" width="15.625" style="409" bestFit="1" customWidth="1"/>
    <col min="16143" max="16143" width="12.5" style="409" bestFit="1" customWidth="1"/>
    <col min="16144" max="16144" width="2.625" style="409" customWidth="1"/>
    <col min="16145" max="16384" width="9" style="409"/>
  </cols>
  <sheetData>
    <row r="1" spans="2:16" s="421" customFormat="1" ht="19.5" thickBot="1"/>
    <row r="2" spans="2:16" s="421" customFormat="1" ht="19.5" thickBot="1">
      <c r="B2" s="422" t="s">
        <v>220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4"/>
    </row>
    <row r="3" spans="2:16" s="421" customFormat="1" ht="19.5" thickBot="1"/>
    <row r="4" spans="2:16" s="421" customFormat="1" ht="19.5" thickBot="1">
      <c r="B4" s="425" t="s">
        <v>221</v>
      </c>
    </row>
    <row r="5" spans="2:16" s="421" customFormat="1" ht="18.75">
      <c r="B5" s="127"/>
      <c r="C5" s="426" t="s">
        <v>222</v>
      </c>
      <c r="D5" s="128" t="s">
        <v>223</v>
      </c>
      <c r="E5" s="128" t="s">
        <v>224</v>
      </c>
      <c r="F5" s="128" t="s">
        <v>225</v>
      </c>
      <c r="G5" s="427" t="s">
        <v>226</v>
      </c>
      <c r="H5" s="427" t="s">
        <v>227</v>
      </c>
      <c r="I5" s="129" t="s">
        <v>228</v>
      </c>
    </row>
    <row r="6" spans="2:16" s="421" customFormat="1" ht="18.75">
      <c r="B6" s="428" t="s">
        <v>78</v>
      </c>
      <c r="C6" s="429">
        <f>D33</f>
        <v>2473.5909999999999</v>
      </c>
      <c r="D6" s="430">
        <f>C6*$O$13</f>
        <v>197.88728</v>
      </c>
      <c r="E6" s="430">
        <f>C6*$O$14</f>
        <v>27.209500999999996</v>
      </c>
      <c r="F6" s="430">
        <f>C6*$O$15</f>
        <v>9894.3639999999996</v>
      </c>
      <c r="G6" s="431">
        <f>C6*$N$16</f>
        <v>4.6998229</v>
      </c>
      <c r="H6" s="431">
        <f>C6*$N$17</f>
        <v>4.6998229</v>
      </c>
      <c r="I6" s="432">
        <f>C6*$O$18*1000</f>
        <v>299.30451099999999</v>
      </c>
    </row>
    <row r="7" spans="2:16" s="421" customFormat="1" ht="18.75">
      <c r="B7" s="428" t="s">
        <v>229</v>
      </c>
      <c r="C7" s="429">
        <f>C31</f>
        <v>0.01</v>
      </c>
      <c r="D7" s="430">
        <f>C7*$M$13</f>
        <v>5.0999999999999993E-4</v>
      </c>
      <c r="E7" s="430">
        <f>C7*$M$14</f>
        <v>2.9999999999999997E-6</v>
      </c>
      <c r="F7" s="430">
        <f>C7*$M$15</f>
        <v>2.5999999999999998E-4</v>
      </c>
      <c r="G7" s="431">
        <f>C7*$M$16</f>
        <v>1.1999999999999999E-5</v>
      </c>
      <c r="H7" s="431">
        <f>C7*$M$17</f>
        <v>1.1999999999999999E-5</v>
      </c>
      <c r="I7" s="432">
        <f>M11*$C$14*1000</f>
        <v>0</v>
      </c>
    </row>
    <row r="8" spans="2:16" s="421" customFormat="1" ht="19.5" thickBot="1">
      <c r="B8" s="428" t="s">
        <v>230</v>
      </c>
      <c r="C8" s="433">
        <f>D32</f>
        <v>105127.61749999999</v>
      </c>
      <c r="D8" s="434">
        <f>C8*$L$13</f>
        <v>11564.037924999999</v>
      </c>
      <c r="E8" s="434">
        <f>C8*$L$14</f>
        <v>94614.855750000002</v>
      </c>
      <c r="F8" s="434">
        <f>C8*$L$15</f>
        <v>483587.04049999994</v>
      </c>
      <c r="G8" s="435">
        <f>C8*$L$16</f>
        <v>42471.55747</v>
      </c>
      <c r="H8" s="435">
        <f>C8*$L$17</f>
        <v>41840.791765000002</v>
      </c>
      <c r="I8" s="436">
        <f>C8*$L$18*1000</f>
        <v>24179.352025</v>
      </c>
    </row>
    <row r="9" spans="2:16" s="421" customFormat="1" ht="19.5" thickBot="1">
      <c r="B9" s="437" t="s">
        <v>12</v>
      </c>
      <c r="C9" s="438"/>
      <c r="D9" s="438">
        <f t="shared" ref="D9:I9" si="0">SUM(D6:D8)</f>
        <v>11761.925714999999</v>
      </c>
      <c r="E9" s="438">
        <f t="shared" si="0"/>
        <v>94642.065254000001</v>
      </c>
      <c r="F9" s="438">
        <f t="shared" si="0"/>
        <v>493481.40475999995</v>
      </c>
      <c r="G9" s="439">
        <f t="shared" si="0"/>
        <v>42476.257304899998</v>
      </c>
      <c r="H9" s="439">
        <f t="shared" si="0"/>
        <v>41845.4915999</v>
      </c>
      <c r="I9" s="438">
        <f t="shared" si="0"/>
        <v>24478.656535999999</v>
      </c>
    </row>
    <row r="10" spans="2:16" s="421" customFormat="1" ht="20.25" thickTop="1" thickBot="1"/>
    <row r="11" spans="2:16" s="421" customFormat="1" ht="19.5" thickBot="1">
      <c r="B11" s="425" t="s">
        <v>231</v>
      </c>
      <c r="K11" s="440" t="s">
        <v>232</v>
      </c>
      <c r="L11" s="441"/>
      <c r="M11" s="441"/>
      <c r="N11" s="441"/>
      <c r="O11" s="441"/>
    </row>
    <row r="12" spans="2:16">
      <c r="B12" s="127"/>
      <c r="C12" s="426" t="s">
        <v>222</v>
      </c>
      <c r="D12" s="128" t="s">
        <v>223</v>
      </c>
      <c r="E12" s="128" t="s">
        <v>224</v>
      </c>
      <c r="F12" s="128" t="s">
        <v>225</v>
      </c>
      <c r="G12" s="427" t="s">
        <v>226</v>
      </c>
      <c r="H12" s="427" t="s">
        <v>227</v>
      </c>
      <c r="I12" s="129" t="s">
        <v>228</v>
      </c>
      <c r="K12" s="442"/>
      <c r="L12" s="443" t="s">
        <v>233</v>
      </c>
      <c r="M12" s="443" t="s">
        <v>234</v>
      </c>
      <c r="N12" s="443" t="s">
        <v>235</v>
      </c>
      <c r="O12" s="444" t="s">
        <v>236</v>
      </c>
    </row>
    <row r="13" spans="2:16">
      <c r="B13" s="428" t="s">
        <v>78</v>
      </c>
      <c r="C13" s="429">
        <f>E33</f>
        <v>3155.5464000000002</v>
      </c>
      <c r="D13" s="430">
        <f>C13*$O$13</f>
        <v>252.44371200000003</v>
      </c>
      <c r="E13" s="430">
        <f>C13*$O$14</f>
        <v>34.711010399999999</v>
      </c>
      <c r="F13" s="430">
        <f>C13*$O$15</f>
        <v>12622.185600000001</v>
      </c>
      <c r="G13" s="431">
        <f>C13*$N$16</f>
        <v>5.9955381600000006</v>
      </c>
      <c r="H13" s="431">
        <f>C13*$N$17</f>
        <v>5.9955381600000006</v>
      </c>
      <c r="I13" s="432">
        <f>C13*$O$18*1000</f>
        <v>381.8211144</v>
      </c>
      <c r="K13" s="445" t="s">
        <v>237</v>
      </c>
      <c r="L13" s="446">
        <v>0.11</v>
      </c>
      <c r="M13" s="447">
        <v>5.0999999999999997E-2</v>
      </c>
      <c r="N13" s="447">
        <v>5.0999999999999997E-2</v>
      </c>
      <c r="O13" s="448">
        <v>0.08</v>
      </c>
    </row>
    <row r="14" spans="2:16">
      <c r="B14" s="428" t="s">
        <v>229</v>
      </c>
      <c r="C14" s="429">
        <f>E31</f>
        <v>1577.7732000000001</v>
      </c>
      <c r="D14" s="430">
        <f>C14*$M$13</f>
        <v>80.466433199999997</v>
      </c>
      <c r="E14" s="430">
        <f>C14*$M$14</f>
        <v>0.47333196</v>
      </c>
      <c r="F14" s="430">
        <f>C14*$M$15</f>
        <v>41.022103200000004</v>
      </c>
      <c r="G14" s="431">
        <f>M16*$C$14</f>
        <v>1.89332784</v>
      </c>
      <c r="H14" s="431">
        <f>M17*$C$14</f>
        <v>1.89332784</v>
      </c>
      <c r="I14" s="432">
        <f>M18*$C$14*1000</f>
        <v>8.8355299200000006E-4</v>
      </c>
      <c r="K14" s="445" t="s">
        <v>238</v>
      </c>
      <c r="L14" s="446">
        <v>0.9</v>
      </c>
      <c r="M14" s="447">
        <v>2.9999999999999997E-4</v>
      </c>
      <c r="N14" s="447">
        <v>7.0000000000000007E-2</v>
      </c>
      <c r="O14" s="449">
        <v>1.0999999999999999E-2</v>
      </c>
    </row>
    <row r="15" spans="2:16" ht="15.75" thickBot="1">
      <c r="B15" s="428" t="s">
        <v>230</v>
      </c>
      <c r="C15" s="433">
        <f>E32</f>
        <v>134110.72200000001</v>
      </c>
      <c r="D15" s="434">
        <f>C15*$L$13</f>
        <v>14752.17942</v>
      </c>
      <c r="E15" s="434">
        <f>C15*$L$14</f>
        <v>120699.64980000001</v>
      </c>
      <c r="F15" s="434">
        <f>C15*$L$15</f>
        <v>616909.32120000001</v>
      </c>
      <c r="G15" s="435">
        <f>C15*$L$16</f>
        <v>54180.731688000007</v>
      </c>
      <c r="H15" s="435">
        <f>C15*$L$17</f>
        <v>53376.067356000007</v>
      </c>
      <c r="I15" s="436">
        <f>C15*$L$18*1000</f>
        <v>30845.466060000002</v>
      </c>
      <c r="K15" s="445" t="s">
        <v>239</v>
      </c>
      <c r="L15" s="446">
        <v>4.5999999999999996</v>
      </c>
      <c r="M15" s="447">
        <v>2.5999999999999999E-2</v>
      </c>
      <c r="N15" s="447">
        <v>5.7000000000000002E-2</v>
      </c>
      <c r="O15" s="448">
        <v>4</v>
      </c>
    </row>
    <row r="16" spans="2:16" ht="15.75" thickBot="1">
      <c r="B16" s="437" t="s">
        <v>12</v>
      </c>
      <c r="C16" s="438"/>
      <c r="D16" s="438">
        <f t="shared" ref="D16:I16" si="1">SUM(D13:D15)</f>
        <v>15085.0895652</v>
      </c>
      <c r="E16" s="438">
        <f t="shared" si="1"/>
        <v>120734.83414236001</v>
      </c>
      <c r="F16" s="438">
        <f t="shared" si="1"/>
        <v>629572.52890320006</v>
      </c>
      <c r="G16" s="439">
        <f t="shared" si="1"/>
        <v>54188.620554000008</v>
      </c>
      <c r="H16" s="439">
        <f t="shared" si="1"/>
        <v>53383.956222000008</v>
      </c>
      <c r="I16" s="438">
        <f t="shared" si="1"/>
        <v>31227.288057952996</v>
      </c>
      <c r="K16" s="445" t="s">
        <v>240</v>
      </c>
      <c r="L16" s="446">
        <v>0.40400000000000003</v>
      </c>
      <c r="M16" s="447">
        <v>1.1999999999999999E-3</v>
      </c>
      <c r="N16" s="447">
        <v>1.9E-3</v>
      </c>
      <c r="O16" s="448">
        <v>0.76</v>
      </c>
    </row>
    <row r="17" spans="2:15" ht="16.5" thickTop="1" thickBot="1">
      <c r="G17" s="450"/>
      <c r="H17" s="450"/>
      <c r="K17" s="445" t="s">
        <v>241</v>
      </c>
      <c r="L17" s="446">
        <v>0.39800000000000002</v>
      </c>
      <c r="M17" s="447">
        <v>1.1999999999999999E-3</v>
      </c>
      <c r="N17" s="447">
        <v>1.9E-3</v>
      </c>
      <c r="O17" s="448">
        <v>0.74</v>
      </c>
    </row>
    <row r="18" spans="2:15" ht="19.5" thickBot="1">
      <c r="B18" s="425" t="s">
        <v>242</v>
      </c>
      <c r="C18" s="421"/>
      <c r="D18" s="421"/>
      <c r="E18" s="421"/>
      <c r="F18" s="421"/>
      <c r="G18" s="451"/>
      <c r="H18" s="451"/>
      <c r="I18" s="421"/>
      <c r="K18" s="452" t="s">
        <v>243</v>
      </c>
      <c r="L18" s="453">
        <v>2.3000000000000001E-4</v>
      </c>
      <c r="M18" s="454">
        <v>5.6000000000000003E-10</v>
      </c>
      <c r="N18" s="454">
        <v>8.0000000000000003E-10</v>
      </c>
      <c r="O18" s="455">
        <v>1.21E-4</v>
      </c>
    </row>
    <row r="19" spans="2:15">
      <c r="B19" s="127"/>
      <c r="C19" s="426" t="s">
        <v>222</v>
      </c>
      <c r="D19" s="128" t="s">
        <v>223</v>
      </c>
      <c r="E19" s="128" t="s">
        <v>224</v>
      </c>
      <c r="F19" s="128" t="s">
        <v>225</v>
      </c>
      <c r="G19" s="427" t="s">
        <v>226</v>
      </c>
      <c r="H19" s="427" t="s">
        <v>227</v>
      </c>
      <c r="I19" s="129" t="s">
        <v>228</v>
      </c>
    </row>
    <row r="20" spans="2:15">
      <c r="B20" s="428" t="str">
        <f>B13</f>
        <v>olej opałowy</v>
      </c>
      <c r="C20" s="456">
        <f>F33</f>
        <v>3366.4776000000002</v>
      </c>
      <c r="D20" s="430">
        <f>C20*$O$13</f>
        <v>269.31820800000003</v>
      </c>
      <c r="E20" s="430">
        <f>C20*$O$14</f>
        <v>37.031253599999999</v>
      </c>
      <c r="F20" s="430">
        <f>C20*$O$15</f>
        <v>13465.910400000001</v>
      </c>
      <c r="G20" s="431">
        <f>C20*$N$16</f>
        <v>6.3963074400000002</v>
      </c>
      <c r="H20" s="431">
        <f>C20*$N$17</f>
        <v>6.3963074400000002</v>
      </c>
      <c r="I20" s="432">
        <f>C20*$O$18*1000</f>
        <v>407.34378959999998</v>
      </c>
    </row>
    <row r="21" spans="2:15">
      <c r="B21" s="428" t="s">
        <v>229</v>
      </c>
      <c r="C21" s="456">
        <f>F31</f>
        <v>1683.2388000000001</v>
      </c>
      <c r="D21" s="430">
        <f>C21*$M$13</f>
        <v>85.845178799999999</v>
      </c>
      <c r="E21" s="430">
        <f>C21*$M$14</f>
        <v>0.50497163999999994</v>
      </c>
      <c r="F21" s="430">
        <f>C21*$M$15</f>
        <v>43.764208799999999</v>
      </c>
      <c r="G21" s="431">
        <f>C21*$M$16</f>
        <v>2.0198865599999998</v>
      </c>
      <c r="H21" s="431">
        <f>C21*$M$17</f>
        <v>2.0198865599999998</v>
      </c>
      <c r="I21" s="432">
        <f>M28*$C$14*1000</f>
        <v>0</v>
      </c>
    </row>
    <row r="22" spans="2:15" ht="15.75" thickBot="1">
      <c r="B22" s="428" t="s">
        <v>230</v>
      </c>
      <c r="C22" s="457">
        <f>F32</f>
        <v>143075.29800000001</v>
      </c>
      <c r="D22" s="434">
        <f>C22*$L$13</f>
        <v>15738.282780000001</v>
      </c>
      <c r="E22" s="434">
        <f>C22*$L$14</f>
        <v>128767.76820000001</v>
      </c>
      <c r="F22" s="434">
        <f>C22*$L$15</f>
        <v>658146.37080000003</v>
      </c>
      <c r="G22" s="435">
        <f>C22*$L$16</f>
        <v>57802.420392000007</v>
      </c>
      <c r="H22" s="435">
        <f>C22*$L$17</f>
        <v>56943.968604000009</v>
      </c>
      <c r="I22" s="436">
        <f>C22*$L$18*1000</f>
        <v>32907.318540000007</v>
      </c>
    </row>
    <row r="23" spans="2:15" ht="15.75" thickBot="1">
      <c r="B23" s="437" t="s">
        <v>12</v>
      </c>
      <c r="C23" s="438"/>
      <c r="D23" s="438">
        <f t="shared" ref="D23:I23" si="2">SUM(D20:D22)</f>
        <v>16093.446166800002</v>
      </c>
      <c r="E23" s="438">
        <f t="shared" si="2"/>
        <v>128805.30442524</v>
      </c>
      <c r="F23" s="438">
        <f t="shared" si="2"/>
        <v>671656.04540880001</v>
      </c>
      <c r="G23" s="439">
        <f t="shared" si="2"/>
        <v>57810.836586000005</v>
      </c>
      <c r="H23" s="439">
        <f t="shared" si="2"/>
        <v>56952.384798000006</v>
      </c>
      <c r="I23" s="438">
        <f t="shared" si="2"/>
        <v>33314.662329600011</v>
      </c>
    </row>
    <row r="24" spans="2:15" ht="16.5" thickTop="1" thickBot="1">
      <c r="G24" s="450"/>
      <c r="H24" s="450"/>
    </row>
    <row r="25" spans="2:15" ht="19.5" thickBot="1">
      <c r="C25" s="421"/>
      <c r="D25" s="440" t="s">
        <v>244</v>
      </c>
      <c r="E25" s="421"/>
      <c r="F25" s="421"/>
      <c r="G25" s="451"/>
      <c r="H25" s="451"/>
      <c r="I25" s="421"/>
    </row>
    <row r="26" spans="2:15" ht="18.75">
      <c r="C26" s="421"/>
      <c r="D26" s="458" t="s">
        <v>223</v>
      </c>
      <c r="E26" s="128" t="s">
        <v>224</v>
      </c>
      <c r="F26" s="128" t="s">
        <v>225</v>
      </c>
      <c r="G26" s="427" t="s">
        <v>226</v>
      </c>
      <c r="H26" s="427" t="s">
        <v>227</v>
      </c>
      <c r="I26" s="129" t="s">
        <v>228</v>
      </c>
    </row>
    <row r="27" spans="2:15" ht="19.5" thickBot="1">
      <c r="C27" s="421"/>
      <c r="D27" s="459">
        <f t="shared" ref="D27:I27" si="3">D16-D23</f>
        <v>-1008.3566016000023</v>
      </c>
      <c r="E27" s="434">
        <f t="shared" si="3"/>
        <v>-8070.4702828799927</v>
      </c>
      <c r="F27" s="434">
        <f t="shared" si="3"/>
        <v>-42083.516505599953</v>
      </c>
      <c r="G27" s="433">
        <f t="shared" si="3"/>
        <v>-3622.2160319999966</v>
      </c>
      <c r="H27" s="433">
        <f t="shared" si="3"/>
        <v>-3568.4285759999984</v>
      </c>
      <c r="I27" s="436">
        <f t="shared" si="3"/>
        <v>-2087.3742716470151</v>
      </c>
    </row>
    <row r="28" spans="2:15" ht="18.75">
      <c r="C28" s="421"/>
    </row>
    <row r="29" spans="2:15" ht="15.75" thickBot="1"/>
    <row r="30" spans="2:15" ht="60.75" thickBot="1">
      <c r="B30" s="460"/>
      <c r="C30" s="461" t="s">
        <v>77</v>
      </c>
      <c r="D30" s="462" t="s">
        <v>245</v>
      </c>
      <c r="E30" s="462" t="s">
        <v>246</v>
      </c>
      <c r="F30" s="462" t="s">
        <v>247</v>
      </c>
      <c r="G30" s="463"/>
    </row>
    <row r="31" spans="2:15">
      <c r="B31" s="464" t="s">
        <v>229</v>
      </c>
      <c r="C31" s="465">
        <v>0.01</v>
      </c>
      <c r="D31" s="486">
        <f>C31*D34</f>
        <v>1236.7954999999999</v>
      </c>
      <c r="E31" s="466">
        <f>C31*E34</f>
        <v>1577.7732000000001</v>
      </c>
      <c r="F31" s="486">
        <f>C31*F34</f>
        <v>1683.2388000000001</v>
      </c>
      <c r="G31" s="420"/>
      <c r="K31" s="420"/>
      <c r="L31" s="482"/>
      <c r="M31" s="483"/>
      <c r="N31" s="420"/>
    </row>
    <row r="32" spans="2:15">
      <c r="B32" s="469" t="s">
        <v>248</v>
      </c>
      <c r="C32" s="465">
        <v>0.85</v>
      </c>
      <c r="D32" s="486">
        <f>C32*D34</f>
        <v>105127.61749999999</v>
      </c>
      <c r="E32" s="466">
        <f>C32*E34</f>
        <v>134110.72200000001</v>
      </c>
      <c r="F32" s="486">
        <f>C32*F34</f>
        <v>143075.29800000001</v>
      </c>
      <c r="G32" s="467"/>
      <c r="K32" s="420"/>
      <c r="L32" s="482"/>
      <c r="M32" s="483"/>
      <c r="N32" s="420"/>
    </row>
    <row r="33" spans="2:14" ht="15.75" thickBot="1">
      <c r="B33" s="471" t="s">
        <v>78</v>
      </c>
      <c r="C33" s="472">
        <v>0.02</v>
      </c>
      <c r="D33" s="487">
        <f>C33*D34</f>
        <v>2473.5909999999999</v>
      </c>
      <c r="E33" s="473">
        <f>C33*E34</f>
        <v>3155.5464000000002</v>
      </c>
      <c r="F33" s="487">
        <f>C33*F34</f>
        <v>3366.4776000000002</v>
      </c>
      <c r="G33" s="470"/>
      <c r="K33" s="420"/>
      <c r="L33" s="482"/>
      <c r="M33" s="484"/>
      <c r="N33" s="420"/>
    </row>
    <row r="34" spans="2:14" ht="15.75" thickBot="1">
      <c r="B34" s="109" t="s">
        <v>12</v>
      </c>
      <c r="C34" s="474"/>
      <c r="D34" s="475">
        <v>123679.55</v>
      </c>
      <c r="E34" s="476">
        <v>157777.32</v>
      </c>
      <c r="F34" s="475">
        <v>168323.88</v>
      </c>
      <c r="G34" s="470"/>
      <c r="H34" s="468"/>
      <c r="K34" s="420"/>
      <c r="L34" s="485"/>
      <c r="M34" s="477"/>
      <c r="N34" s="420"/>
    </row>
    <row r="35" spans="2:14">
      <c r="G35" s="470"/>
      <c r="H35" s="206"/>
      <c r="K35" s="420"/>
      <c r="L35" s="420"/>
      <c r="M35" s="420"/>
      <c r="N35" s="420"/>
    </row>
    <row r="36" spans="2:14">
      <c r="F36" s="420"/>
      <c r="G36" s="477"/>
    </row>
    <row r="37" spans="2:14">
      <c r="F37" s="420"/>
      <c r="G37" s="420"/>
    </row>
  </sheetData>
  <pageMargins left="0.7" right="0.7" top="0.75" bottom="0.75" header="0.3" footer="0.3"/>
  <pageSetup paperSize="9" scale="3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view="pageBreakPreview" zoomScaleNormal="100" zoomScaleSheetLayoutView="100" workbookViewId="0">
      <selection activeCell="F19" sqref="F19"/>
    </sheetView>
  </sheetViews>
  <sheetFormatPr defaultRowHeight="15"/>
  <cols>
    <col min="1" max="1" width="2.5" style="11" customWidth="1"/>
    <col min="2" max="2" width="18" style="11" customWidth="1"/>
    <col min="3" max="3" width="15.875" style="11" customWidth="1"/>
    <col min="4" max="4" width="13.5" style="11" bestFit="1" customWidth="1"/>
    <col min="5" max="6" width="15.625" style="11" customWidth="1"/>
    <col min="7" max="7" width="16" style="11" customWidth="1"/>
    <col min="8" max="8" width="18" style="11" customWidth="1"/>
    <col min="9" max="9" width="13.5" style="11" bestFit="1" customWidth="1"/>
    <col min="10" max="10" width="9" style="11" customWidth="1"/>
    <col min="11" max="11" width="11.625" style="11" customWidth="1"/>
    <col min="12" max="12" width="9" style="11" customWidth="1"/>
    <col min="13" max="15" width="11.625" style="11" customWidth="1"/>
    <col min="16" max="16" width="9" style="11" customWidth="1"/>
    <col min="17" max="16384" width="9" style="11"/>
  </cols>
  <sheetData>
    <row r="1" spans="2:7" s="17" customFormat="1" ht="15" customHeight="1" thickBot="1"/>
    <row r="2" spans="2:7" s="17" customFormat="1" ht="19.5" thickBot="1">
      <c r="B2" s="18" t="s">
        <v>88</v>
      </c>
      <c r="C2" s="19"/>
      <c r="D2" s="19"/>
      <c r="E2" s="19"/>
      <c r="F2" s="19"/>
      <c r="G2" s="20"/>
    </row>
    <row r="3" spans="2:7" s="17" customFormat="1" ht="15" customHeight="1" thickBot="1"/>
    <row r="4" spans="2:7" ht="15.75" thickBot="1">
      <c r="B4" s="640" t="s">
        <v>93</v>
      </c>
      <c r="C4" s="641"/>
      <c r="D4" s="122"/>
      <c r="E4" s="122"/>
      <c r="F4" s="122"/>
      <c r="G4" s="122"/>
    </row>
    <row r="5" spans="2:7" ht="33">
      <c r="B5" s="334" t="s">
        <v>89</v>
      </c>
      <c r="C5" s="194" t="s">
        <v>90</v>
      </c>
      <c r="D5" s="194" t="s">
        <v>91</v>
      </c>
      <c r="E5" s="194" t="s">
        <v>92</v>
      </c>
      <c r="F5" s="312" t="s">
        <v>254</v>
      </c>
      <c r="G5" s="195" t="s">
        <v>144</v>
      </c>
    </row>
    <row r="6" spans="2:7" ht="15.75" customHeight="1">
      <c r="B6" s="653">
        <f>E6/(D6*C6)*1000000</f>
        <v>57.434559310801852</v>
      </c>
      <c r="C6" s="650">
        <v>1800</v>
      </c>
      <c r="D6" s="637">
        <v>4024</v>
      </c>
      <c r="E6" s="644">
        <v>416.01</v>
      </c>
      <c r="F6" s="647">
        <v>0.89</v>
      </c>
      <c r="G6" s="634">
        <f>E6*F6</f>
        <v>370.24889999999999</v>
      </c>
    </row>
    <row r="7" spans="2:7" ht="15" customHeight="1">
      <c r="B7" s="654"/>
      <c r="C7" s="651"/>
      <c r="D7" s="638"/>
      <c r="E7" s="645"/>
      <c r="F7" s="648"/>
      <c r="G7" s="635"/>
    </row>
    <row r="8" spans="2:7" ht="15.75" customHeight="1" thickBot="1">
      <c r="B8" s="655"/>
      <c r="C8" s="652"/>
      <c r="D8" s="639"/>
      <c r="E8" s="646"/>
      <c r="F8" s="649"/>
      <c r="G8" s="636"/>
    </row>
    <row r="9" spans="2:7" ht="15.75" thickBot="1">
      <c r="B9" s="335"/>
      <c r="C9" s="335"/>
      <c r="D9" s="124" t="s">
        <v>12</v>
      </c>
      <c r="E9" s="336">
        <f>SUM(E6:E6)</f>
        <v>416.01</v>
      </c>
      <c r="F9" s="337"/>
      <c r="G9" s="336">
        <f>SUM(G6:G6)</f>
        <v>370.24889999999999</v>
      </c>
    </row>
    <row r="10" spans="2:7" ht="15.75" thickBot="1">
      <c r="B10" s="123"/>
      <c r="C10" s="123"/>
      <c r="D10" s="125"/>
      <c r="E10" s="125"/>
      <c r="F10" s="125"/>
      <c r="G10" s="125"/>
    </row>
    <row r="11" spans="2:7" ht="15.75" thickBot="1">
      <c r="B11" s="642" t="s">
        <v>93</v>
      </c>
      <c r="C11" s="643"/>
      <c r="D11" s="278"/>
      <c r="E11" s="125"/>
      <c r="F11" s="125"/>
      <c r="G11" s="125"/>
    </row>
    <row r="12" spans="2:7">
      <c r="B12" s="279" t="s">
        <v>96</v>
      </c>
      <c r="C12" s="280">
        <f>B6</f>
        <v>57.434559310801852</v>
      </c>
      <c r="D12" s="281" t="s">
        <v>94</v>
      </c>
      <c r="E12" s="125"/>
      <c r="F12" s="125"/>
      <c r="G12" s="125"/>
    </row>
    <row r="13" spans="2:7">
      <c r="B13" s="275" t="s">
        <v>97</v>
      </c>
      <c r="C13" s="276">
        <f>(B6*C6)/1000</f>
        <v>103.38220675944333</v>
      </c>
      <c r="D13" s="277" t="s">
        <v>95</v>
      </c>
      <c r="E13" s="125"/>
      <c r="F13" s="125"/>
      <c r="G13" s="125"/>
    </row>
    <row r="14" spans="2:7">
      <c r="B14" s="125"/>
      <c r="C14" s="125"/>
      <c r="D14" s="125"/>
      <c r="E14" s="125"/>
      <c r="F14" s="125"/>
      <c r="G14" s="125"/>
    </row>
  </sheetData>
  <mergeCells count="8">
    <mergeCell ref="G6:G8"/>
    <mergeCell ref="D6:D8"/>
    <mergeCell ref="B4:C4"/>
    <mergeCell ref="B11:C11"/>
    <mergeCell ref="E6:E8"/>
    <mergeCell ref="F6:F8"/>
    <mergeCell ref="C6:C8"/>
    <mergeCell ref="B6:B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showGridLines="0" view="pageBreakPreview" zoomScale="78" zoomScaleNormal="78" zoomScaleSheetLayoutView="78" workbookViewId="0">
      <selection activeCell="E29" sqref="E29"/>
    </sheetView>
  </sheetViews>
  <sheetFormatPr defaultRowHeight="15"/>
  <cols>
    <col min="1" max="1" width="2.5" style="11" customWidth="1"/>
    <col min="2" max="2" width="4.875" style="11" customWidth="1"/>
    <col min="3" max="3" width="39.125" style="11" customWidth="1"/>
    <col min="4" max="4" width="11.125" style="11" customWidth="1"/>
    <col min="5" max="5" width="12.5" style="11" customWidth="1"/>
    <col min="6" max="6" width="14.375" style="11" customWidth="1"/>
    <col min="7" max="7" width="25" style="11" customWidth="1"/>
    <col min="8" max="8" width="11.25" style="11" customWidth="1"/>
    <col min="9" max="9" width="14.25" style="11" customWidth="1"/>
    <col min="10" max="10" width="18" style="11" customWidth="1"/>
    <col min="11" max="11" width="19.25" style="11" customWidth="1"/>
    <col min="12" max="12" width="9" style="11" customWidth="1"/>
    <col min="13" max="13" width="11.625" style="11" customWidth="1"/>
    <col min="14" max="14" width="9" style="11" customWidth="1"/>
    <col min="15" max="17" width="11.625" style="11" customWidth="1"/>
    <col min="18" max="18" width="9" style="11" customWidth="1"/>
    <col min="19" max="16384" width="9" style="11"/>
  </cols>
  <sheetData>
    <row r="1" spans="2:12" s="17" customFormat="1" ht="15" customHeight="1" thickBot="1"/>
    <row r="2" spans="2:12" s="17" customFormat="1" ht="60.75" thickBot="1">
      <c r="B2" s="316" t="s">
        <v>171</v>
      </c>
      <c r="C2" s="317" t="s">
        <v>98</v>
      </c>
      <c r="D2" s="317" t="s">
        <v>197</v>
      </c>
      <c r="E2" s="317" t="s">
        <v>99</v>
      </c>
      <c r="F2" s="317" t="s">
        <v>198</v>
      </c>
      <c r="G2" s="318" t="s">
        <v>100</v>
      </c>
      <c r="H2" s="319" t="s">
        <v>85</v>
      </c>
      <c r="I2" s="317" t="s">
        <v>199</v>
      </c>
      <c r="J2" s="317" t="s">
        <v>200</v>
      </c>
      <c r="K2" s="317" t="s">
        <v>201</v>
      </c>
      <c r="L2" s="320"/>
    </row>
    <row r="3" spans="2:12" s="17" customFormat="1" ht="41.25" customHeight="1" thickBot="1">
      <c r="B3" s="321">
        <v>1</v>
      </c>
      <c r="C3" s="379" t="s">
        <v>251</v>
      </c>
      <c r="D3" s="322">
        <v>240</v>
      </c>
      <c r="E3" s="322">
        <v>12.5</v>
      </c>
      <c r="F3" s="322">
        <v>0.81</v>
      </c>
      <c r="G3" s="322" t="s">
        <v>172</v>
      </c>
      <c r="H3" s="323" t="s">
        <v>162</v>
      </c>
      <c r="I3" s="322" t="s">
        <v>162</v>
      </c>
      <c r="J3" s="322">
        <v>10.130000000000001</v>
      </c>
      <c r="K3" s="324" t="s">
        <v>162</v>
      </c>
      <c r="L3" s="320"/>
    </row>
    <row r="4" spans="2:12" ht="41.25" customHeight="1" thickBot="1">
      <c r="B4" s="321">
        <v>2</v>
      </c>
      <c r="C4" s="380" t="s">
        <v>173</v>
      </c>
      <c r="D4" s="322">
        <v>108.53</v>
      </c>
      <c r="E4" s="322" t="s">
        <v>162</v>
      </c>
      <c r="F4" s="322">
        <v>0.81</v>
      </c>
      <c r="G4" s="323" t="s">
        <v>192</v>
      </c>
      <c r="H4" s="323">
        <v>200.64</v>
      </c>
      <c r="I4" s="322">
        <v>0.08</v>
      </c>
      <c r="J4" s="322" t="s">
        <v>162</v>
      </c>
      <c r="K4" s="324">
        <v>15.25</v>
      </c>
      <c r="L4" s="320"/>
    </row>
    <row r="5" spans="2:12" ht="41.25" customHeight="1" thickBot="1">
      <c r="B5" s="321">
        <v>3</v>
      </c>
      <c r="C5" s="381" t="s">
        <v>252</v>
      </c>
      <c r="D5" s="322">
        <v>231.44</v>
      </c>
      <c r="E5" s="322">
        <v>10</v>
      </c>
      <c r="F5" s="322">
        <v>0.81</v>
      </c>
      <c r="G5" s="322" t="s">
        <v>174</v>
      </c>
      <c r="H5" s="323">
        <v>67</v>
      </c>
      <c r="I5" s="322">
        <v>0.09</v>
      </c>
      <c r="J5" s="322">
        <v>8.1</v>
      </c>
      <c r="K5" s="324">
        <v>6.3</v>
      </c>
      <c r="L5" s="320"/>
    </row>
    <row r="6" spans="2:12" ht="41.25" customHeight="1" thickBot="1">
      <c r="B6" s="321">
        <v>4</v>
      </c>
      <c r="C6" s="380" t="s">
        <v>175</v>
      </c>
      <c r="D6" s="322">
        <v>325</v>
      </c>
      <c r="E6" s="322">
        <v>13.5</v>
      </c>
      <c r="F6" s="322">
        <v>0.81</v>
      </c>
      <c r="G6" s="322" t="s">
        <v>172</v>
      </c>
      <c r="H6" s="323" t="s">
        <v>162</v>
      </c>
      <c r="I6" s="322" t="s">
        <v>162</v>
      </c>
      <c r="J6" s="322">
        <v>10.94</v>
      </c>
      <c r="K6" s="324" t="s">
        <v>162</v>
      </c>
      <c r="L6" s="320"/>
    </row>
    <row r="7" spans="2:12" ht="41.25" customHeight="1" thickBot="1">
      <c r="B7" s="321">
        <v>5</v>
      </c>
      <c r="C7" s="380" t="s">
        <v>176</v>
      </c>
      <c r="D7" s="322">
        <v>240</v>
      </c>
      <c r="E7" s="322">
        <v>0.03</v>
      </c>
      <c r="F7" s="322">
        <v>0.81</v>
      </c>
      <c r="G7" s="322" t="s">
        <v>162</v>
      </c>
      <c r="H7" s="322" t="s">
        <v>162</v>
      </c>
      <c r="I7" s="322" t="s">
        <v>162</v>
      </c>
      <c r="J7" s="322">
        <v>0.02</v>
      </c>
      <c r="K7" s="324" t="s">
        <v>162</v>
      </c>
      <c r="L7" s="320"/>
    </row>
    <row r="8" spans="2:12" ht="41.25" customHeight="1" thickBot="1">
      <c r="B8" s="338">
        <v>6</v>
      </c>
      <c r="C8" s="382" t="s">
        <v>177</v>
      </c>
      <c r="D8" s="378">
        <v>250</v>
      </c>
      <c r="E8" s="339">
        <v>1.3</v>
      </c>
      <c r="F8" s="339">
        <v>0.81</v>
      </c>
      <c r="G8" s="339" t="s">
        <v>162</v>
      </c>
      <c r="H8" s="340" t="s">
        <v>162</v>
      </c>
      <c r="I8" s="339" t="s">
        <v>162</v>
      </c>
      <c r="J8" s="339">
        <v>1.05</v>
      </c>
      <c r="K8" s="341" t="s">
        <v>162</v>
      </c>
      <c r="L8" s="320"/>
    </row>
    <row r="9" spans="2:12" ht="41.25" customHeight="1" thickBot="1">
      <c r="B9" s="321">
        <v>7</v>
      </c>
      <c r="C9" s="380" t="s">
        <v>178</v>
      </c>
      <c r="D9" s="322">
        <v>233</v>
      </c>
      <c r="E9" s="322">
        <v>0.15</v>
      </c>
      <c r="F9" s="322">
        <v>0.81</v>
      </c>
      <c r="G9" s="322" t="s">
        <v>162</v>
      </c>
      <c r="H9" s="322" t="s">
        <v>162</v>
      </c>
      <c r="I9" s="322" t="s">
        <v>162</v>
      </c>
      <c r="J9" s="322">
        <v>0.12</v>
      </c>
      <c r="K9" s="324" t="s">
        <v>162</v>
      </c>
      <c r="L9" s="320"/>
    </row>
    <row r="10" spans="2:12" ht="41.25" customHeight="1" thickBot="1">
      <c r="B10" s="321">
        <v>8</v>
      </c>
      <c r="C10" s="380" t="s">
        <v>179</v>
      </c>
      <c r="D10" s="322">
        <v>430</v>
      </c>
      <c r="E10" s="322">
        <v>10.5</v>
      </c>
      <c r="F10" s="322">
        <v>0.81</v>
      </c>
      <c r="G10" s="322" t="s">
        <v>172</v>
      </c>
      <c r="H10" s="322"/>
      <c r="I10" s="322" t="s">
        <v>162</v>
      </c>
      <c r="J10" s="322">
        <v>8.51</v>
      </c>
      <c r="K10" s="324" t="s">
        <v>162</v>
      </c>
      <c r="L10" s="320"/>
    </row>
    <row r="11" spans="2:12" ht="41.25" customHeight="1" thickBot="1">
      <c r="B11" s="321">
        <v>9</v>
      </c>
      <c r="C11" s="380" t="s">
        <v>253</v>
      </c>
      <c r="D11" s="322">
        <v>215</v>
      </c>
      <c r="E11" s="323">
        <v>0.28999999999999998</v>
      </c>
      <c r="F11" s="322">
        <v>0.81</v>
      </c>
      <c r="G11" s="322" t="s">
        <v>162</v>
      </c>
      <c r="H11" s="322" t="s">
        <v>162</v>
      </c>
      <c r="I11" s="322" t="s">
        <v>162</v>
      </c>
      <c r="J11" s="322">
        <v>0.23</v>
      </c>
      <c r="K11" s="324"/>
      <c r="L11" s="320"/>
    </row>
    <row r="12" spans="2:12" ht="41.25" customHeight="1" thickBot="1">
      <c r="B12" s="321">
        <v>10</v>
      </c>
      <c r="C12" s="380" t="s">
        <v>180</v>
      </c>
      <c r="D12" s="322">
        <v>510</v>
      </c>
      <c r="E12" s="323">
        <v>6.4</v>
      </c>
      <c r="F12" s="322">
        <v>0.81</v>
      </c>
      <c r="G12" s="322" t="s">
        <v>162</v>
      </c>
      <c r="H12" s="322" t="s">
        <v>162</v>
      </c>
      <c r="I12" s="322" t="s">
        <v>162</v>
      </c>
      <c r="J12" s="322">
        <v>5.18</v>
      </c>
      <c r="K12" s="324" t="s">
        <v>162</v>
      </c>
      <c r="L12" s="320"/>
    </row>
    <row r="13" spans="2:12" ht="41.25" customHeight="1" thickBot="1">
      <c r="B13" s="321">
        <v>11</v>
      </c>
      <c r="C13" s="380" t="s">
        <v>181</v>
      </c>
      <c r="D13" s="322">
        <v>220</v>
      </c>
      <c r="E13" s="322">
        <v>0.02</v>
      </c>
      <c r="F13" s="322">
        <v>0.81</v>
      </c>
      <c r="G13" s="322" t="s">
        <v>162</v>
      </c>
      <c r="H13" s="322" t="s">
        <v>162</v>
      </c>
      <c r="I13" s="322" t="s">
        <v>162</v>
      </c>
      <c r="J13" s="322">
        <v>0.02</v>
      </c>
      <c r="K13" s="324" t="s">
        <v>162</v>
      </c>
      <c r="L13" s="320"/>
    </row>
    <row r="14" spans="2:12" ht="41.25" customHeight="1" thickBot="1">
      <c r="B14" s="321">
        <v>12</v>
      </c>
      <c r="C14" s="380" t="s">
        <v>182</v>
      </c>
      <c r="D14" s="322">
        <v>210</v>
      </c>
      <c r="E14" s="322">
        <v>0.01</v>
      </c>
      <c r="F14" s="322">
        <v>0.81</v>
      </c>
      <c r="G14" s="322" t="s">
        <v>162</v>
      </c>
      <c r="H14" s="322"/>
      <c r="I14" s="322" t="s">
        <v>162</v>
      </c>
      <c r="J14" s="322">
        <v>0.01</v>
      </c>
      <c r="K14" s="324" t="s">
        <v>162</v>
      </c>
      <c r="L14" s="320"/>
    </row>
    <row r="15" spans="2:12" ht="41.25" customHeight="1" thickBot="1">
      <c r="B15" s="321">
        <v>13</v>
      </c>
      <c r="C15" s="380" t="s">
        <v>202</v>
      </c>
      <c r="D15" s="322">
        <v>70</v>
      </c>
      <c r="E15" s="322">
        <v>0.03</v>
      </c>
      <c r="F15" s="322">
        <v>0.81</v>
      </c>
      <c r="G15" s="322" t="s">
        <v>162</v>
      </c>
      <c r="H15" s="322" t="s">
        <v>162</v>
      </c>
      <c r="I15" s="322" t="s">
        <v>162</v>
      </c>
      <c r="J15" s="322">
        <v>0.02</v>
      </c>
      <c r="K15" s="324" t="s">
        <v>162</v>
      </c>
      <c r="L15" s="320"/>
    </row>
    <row r="16" spans="2:12" ht="41.25" customHeight="1" thickBot="1">
      <c r="B16" s="321">
        <v>14</v>
      </c>
      <c r="C16" s="380" t="s">
        <v>183</v>
      </c>
      <c r="D16" s="322">
        <v>140</v>
      </c>
      <c r="E16" s="322">
        <v>0.03</v>
      </c>
      <c r="F16" s="322">
        <v>0.81</v>
      </c>
      <c r="G16" s="322" t="s">
        <v>162</v>
      </c>
      <c r="H16" s="322"/>
      <c r="I16" s="322" t="s">
        <v>162</v>
      </c>
      <c r="J16" s="322">
        <v>0.02</v>
      </c>
      <c r="K16" s="324" t="s">
        <v>162</v>
      </c>
      <c r="L16" s="320"/>
    </row>
    <row r="17" spans="2:12" ht="41.25" customHeight="1" thickBot="1">
      <c r="B17" s="321">
        <v>15</v>
      </c>
      <c r="C17" s="380" t="s">
        <v>184</v>
      </c>
      <c r="D17" s="322">
        <v>240</v>
      </c>
      <c r="E17" s="322">
        <v>0.02</v>
      </c>
      <c r="F17" s="322">
        <v>0.81</v>
      </c>
      <c r="G17" s="322" t="s">
        <v>162</v>
      </c>
      <c r="H17" s="322"/>
      <c r="I17" s="322" t="s">
        <v>162</v>
      </c>
      <c r="J17" s="322">
        <v>0.02</v>
      </c>
      <c r="K17" s="324" t="s">
        <v>162</v>
      </c>
      <c r="L17" s="320"/>
    </row>
    <row r="18" spans="2:12" ht="41.25" customHeight="1" thickBot="1">
      <c r="B18" s="321">
        <v>16</v>
      </c>
      <c r="C18" s="380" t="s">
        <v>185</v>
      </c>
      <c r="D18" s="322">
        <v>280</v>
      </c>
      <c r="E18" s="322">
        <v>0.05</v>
      </c>
      <c r="F18" s="322">
        <v>0.81</v>
      </c>
      <c r="G18" s="322" t="s">
        <v>162</v>
      </c>
      <c r="H18" s="322" t="s">
        <v>162</v>
      </c>
      <c r="I18" s="322" t="s">
        <v>162</v>
      </c>
      <c r="J18" s="322">
        <v>0.04</v>
      </c>
      <c r="K18" s="324" t="s">
        <v>162</v>
      </c>
      <c r="L18" s="320"/>
    </row>
    <row r="19" spans="2:12" ht="41.25" customHeight="1" thickBot="1">
      <c r="B19" s="321">
        <v>17</v>
      </c>
      <c r="C19" s="380" t="s">
        <v>186</v>
      </c>
      <c r="D19" s="322">
        <v>120</v>
      </c>
      <c r="E19" s="322">
        <v>16</v>
      </c>
      <c r="F19" s="322">
        <v>0.81</v>
      </c>
      <c r="G19" s="322" t="s">
        <v>172</v>
      </c>
      <c r="H19" s="322" t="s">
        <v>162</v>
      </c>
      <c r="I19" s="322" t="s">
        <v>162</v>
      </c>
      <c r="J19" s="322">
        <v>12.96</v>
      </c>
      <c r="K19" s="324" t="s">
        <v>162</v>
      </c>
      <c r="L19" s="320"/>
    </row>
    <row r="20" spans="2:12" ht="41.25" customHeight="1" thickBot="1">
      <c r="B20" s="321">
        <v>18</v>
      </c>
      <c r="C20" s="380" t="s">
        <v>187</v>
      </c>
      <c r="D20" s="322">
        <v>150</v>
      </c>
      <c r="E20" s="322">
        <v>2.2999999999999998</v>
      </c>
      <c r="F20" s="322">
        <v>0.81</v>
      </c>
      <c r="G20" s="322" t="s">
        <v>172</v>
      </c>
      <c r="H20" s="322"/>
      <c r="I20" s="322" t="s">
        <v>162</v>
      </c>
      <c r="J20" s="322">
        <v>1.86</v>
      </c>
      <c r="K20" s="324" t="s">
        <v>162</v>
      </c>
      <c r="L20" s="320"/>
    </row>
    <row r="21" spans="2:12" ht="41.25" customHeight="1" thickBot="1">
      <c r="B21" s="321">
        <v>19</v>
      </c>
      <c r="C21" s="380" t="s">
        <v>188</v>
      </c>
      <c r="D21" s="322">
        <v>368</v>
      </c>
      <c r="E21" s="322">
        <v>6.13</v>
      </c>
      <c r="F21" s="322">
        <v>0.81</v>
      </c>
      <c r="G21" s="322" t="s">
        <v>205</v>
      </c>
      <c r="H21" s="322">
        <v>467.62</v>
      </c>
      <c r="I21" s="322">
        <v>0.09</v>
      </c>
      <c r="J21" s="322">
        <v>4.97</v>
      </c>
      <c r="K21" s="324">
        <v>43.96</v>
      </c>
      <c r="L21" s="320"/>
    </row>
    <row r="22" spans="2:12" ht="41.25" customHeight="1" thickBot="1">
      <c r="B22" s="321">
        <v>20</v>
      </c>
      <c r="C22" s="380" t="s">
        <v>189</v>
      </c>
      <c r="D22" s="322">
        <v>273</v>
      </c>
      <c r="E22" s="322">
        <v>12.43</v>
      </c>
      <c r="F22" s="322">
        <v>0.81</v>
      </c>
      <c r="G22" s="322" t="s">
        <v>190</v>
      </c>
      <c r="H22" s="322">
        <v>388.55</v>
      </c>
      <c r="I22" s="322">
        <v>0.1</v>
      </c>
      <c r="J22" s="322">
        <v>10.07</v>
      </c>
      <c r="K22" s="324">
        <v>38.08</v>
      </c>
      <c r="L22" s="320"/>
    </row>
    <row r="23" spans="2:12" ht="41.25" customHeight="1" thickBot="1">
      <c r="B23" s="325">
        <v>21</v>
      </c>
      <c r="C23" s="383" t="s">
        <v>191</v>
      </c>
      <c r="D23" s="326">
        <v>2780</v>
      </c>
      <c r="E23" s="327">
        <v>28.8</v>
      </c>
      <c r="F23" s="327">
        <v>0.81</v>
      </c>
      <c r="G23" s="327" t="s">
        <v>204</v>
      </c>
      <c r="H23" s="327">
        <v>591.70000000000005</v>
      </c>
      <c r="I23" s="327">
        <v>0.08</v>
      </c>
      <c r="J23" s="327">
        <v>23.33</v>
      </c>
      <c r="K23" s="328">
        <v>44.97</v>
      </c>
      <c r="L23" s="320"/>
    </row>
    <row r="24" spans="2:12" ht="15.75" thickBot="1">
      <c r="B24" s="329"/>
      <c r="C24" s="330" t="s">
        <v>12</v>
      </c>
      <c r="D24" s="331">
        <v>7633.97</v>
      </c>
      <c r="E24" s="332">
        <v>120.49</v>
      </c>
      <c r="F24" s="333"/>
      <c r="G24" s="333"/>
      <c r="H24" s="377">
        <v>1715.5174999999999</v>
      </c>
      <c r="I24" s="333"/>
      <c r="J24" s="375">
        <v>97.6</v>
      </c>
      <c r="K24" s="376">
        <v>148.55000000000001</v>
      </c>
      <c r="L24" s="320"/>
    </row>
    <row r="25" spans="2:12">
      <c r="J25" s="253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25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0"/>
  <sheetViews>
    <sheetView showGridLines="0" tabSelected="1" view="pageBreakPreview" topLeftCell="A52" zoomScaleNormal="100" zoomScaleSheetLayoutView="100" workbookViewId="0">
      <selection activeCell="L8" sqref="L8"/>
    </sheetView>
  </sheetViews>
  <sheetFormatPr defaultRowHeight="15"/>
  <cols>
    <col min="1" max="1" width="2.5" style="11" customWidth="1"/>
    <col min="2" max="2" width="23" style="11" customWidth="1"/>
    <col min="3" max="5" width="12.5" style="11" customWidth="1"/>
    <col min="6" max="6" width="14.875" style="11" customWidth="1"/>
    <col min="7" max="7" width="2.5" style="11" customWidth="1"/>
    <col min="8" max="8" width="25.625" style="11" customWidth="1"/>
    <col min="9" max="12" width="12.5" style="11" customWidth="1"/>
    <col min="13" max="13" width="13.5" style="11" bestFit="1" customWidth="1"/>
    <col min="14" max="14" width="9" style="11" customWidth="1"/>
    <col min="15" max="15" width="11.625" style="11" customWidth="1"/>
    <col min="16" max="16" width="9" style="11" customWidth="1"/>
    <col min="17" max="19" width="11.625" style="11" customWidth="1"/>
    <col min="20" max="20" width="9" style="11" customWidth="1"/>
    <col min="21" max="16384" width="9" style="11"/>
  </cols>
  <sheetData>
    <row r="1" spans="2:12" s="17" customFormat="1" ht="15" customHeight="1" thickBot="1"/>
    <row r="2" spans="2:12" s="17" customFormat="1" ht="19.5" thickBot="1">
      <c r="B2" s="18" t="s">
        <v>166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s="196" customFormat="1" ht="15.75" customHeight="1" thickBot="1"/>
    <row r="4" spans="2:12" ht="15.75" thickBot="1">
      <c r="B4" s="656" t="s">
        <v>270</v>
      </c>
      <c r="C4" s="657"/>
      <c r="D4" s="135"/>
      <c r="E4" s="135"/>
      <c r="F4" s="135"/>
      <c r="H4" s="656" t="s">
        <v>271</v>
      </c>
      <c r="I4" s="657"/>
      <c r="J4" s="135"/>
      <c r="K4" s="135"/>
      <c r="L4" s="135"/>
    </row>
    <row r="5" spans="2:12" ht="60">
      <c r="B5" s="162"/>
      <c r="C5" s="165">
        <v>2000</v>
      </c>
      <c r="D5" s="166">
        <v>2013</v>
      </c>
      <c r="E5" s="166" t="s">
        <v>163</v>
      </c>
      <c r="F5" s="164" t="s">
        <v>164</v>
      </c>
      <c r="H5" s="162"/>
      <c r="I5" s="165">
        <v>2000</v>
      </c>
      <c r="J5" s="166">
        <v>2013</v>
      </c>
      <c r="K5" s="166" t="s">
        <v>163</v>
      </c>
      <c r="L5" s="164" t="s">
        <v>164</v>
      </c>
    </row>
    <row r="6" spans="2:12">
      <c r="B6" s="163" t="s">
        <v>108</v>
      </c>
      <c r="C6" s="138">
        <f>'En. elektryczna'!E6</f>
        <v>1585.357</v>
      </c>
      <c r="D6" s="139">
        <f>'En. elektryczna'!E10</f>
        <v>4275.9605000000001</v>
      </c>
      <c r="E6" s="139">
        <f>'En. elektryczna'!E14</f>
        <v>5145.5843834177858</v>
      </c>
      <c r="F6" s="139">
        <f>E6</f>
        <v>5145.5843834177858</v>
      </c>
      <c r="H6" s="163" t="s">
        <v>272</v>
      </c>
      <c r="I6" s="138">
        <f>'En. elektryczna'!E6+Ciepło!J9</f>
        <v>12143.87975665</v>
      </c>
      <c r="J6" s="139">
        <f>'En. elektryczna'!E10+Ciepło!J16</f>
        <v>17745.410052289997</v>
      </c>
      <c r="K6" s="139">
        <f>'En. elektryczna'!E14+Ciepło!J24</f>
        <v>19515.394275127783</v>
      </c>
      <c r="L6" s="139">
        <f>K6</f>
        <v>19515.394275127783</v>
      </c>
    </row>
    <row r="7" spans="2:12">
      <c r="B7" s="163" t="s">
        <v>109</v>
      </c>
      <c r="C7" s="138">
        <f>Tranzyt!G48</f>
        <v>14734.462750858882</v>
      </c>
      <c r="D7" s="139">
        <f>Tranzyt!H48</f>
        <v>23071.37960209608</v>
      </c>
      <c r="E7" s="139">
        <f>Tranzyt!I48</f>
        <v>24773.890250231001</v>
      </c>
      <c r="F7" s="139">
        <f t="shared" ref="F7:F8" si="0">E7</f>
        <v>24773.890250231001</v>
      </c>
      <c r="H7" s="163" t="s">
        <v>273</v>
      </c>
      <c r="I7" s="138">
        <f>Tranzyt!G48</f>
        <v>14734.462750858882</v>
      </c>
      <c r="J7" s="139">
        <f>Tranzyt!H48</f>
        <v>23071.37960209608</v>
      </c>
      <c r="K7" s="139">
        <f>Tranzyt!I48</f>
        <v>24773.890250231001</v>
      </c>
      <c r="L7" s="139">
        <f t="shared" ref="L7" si="1">K7</f>
        <v>24773.890250231001</v>
      </c>
    </row>
    <row r="8" spans="2:12" ht="15.75" thickBot="1">
      <c r="B8" s="163" t="s">
        <v>110</v>
      </c>
      <c r="C8" s="138">
        <f>Ciepło!J9</f>
        <v>10558.52275665</v>
      </c>
      <c r="D8" s="139">
        <f>Ciepło!J16</f>
        <v>13469.449552289998</v>
      </c>
      <c r="E8" s="139">
        <f>Ciepło!J24</f>
        <v>14369.809891709998</v>
      </c>
      <c r="F8" s="139">
        <f t="shared" si="0"/>
        <v>14369.809891709998</v>
      </c>
      <c r="H8" s="167"/>
      <c r="I8" s="168"/>
      <c r="J8" s="169"/>
      <c r="K8" s="169"/>
      <c r="L8" s="373">
        <f>F9</f>
        <v>-2573.5300000000002</v>
      </c>
    </row>
    <row r="9" spans="2:12" ht="15" customHeight="1" thickBot="1">
      <c r="B9" s="167" t="s">
        <v>121</v>
      </c>
      <c r="C9" s="168"/>
      <c r="D9" s="169"/>
      <c r="E9" s="169"/>
      <c r="F9" s="373">
        <v>-2573.5300000000002</v>
      </c>
      <c r="H9" s="136" t="s">
        <v>12</v>
      </c>
      <c r="I9" s="137">
        <f>SUM(I6:I8)</f>
        <v>26878.342507508882</v>
      </c>
      <c r="J9" s="137">
        <f>SUM(J6:J8)</f>
        <v>40816.789654386077</v>
      </c>
      <c r="K9" s="137">
        <f>SUM(K6:K8)</f>
        <v>44289.284525358788</v>
      </c>
      <c r="L9" s="137">
        <f>SUM(L6:L8)</f>
        <v>41715.754525358789</v>
      </c>
    </row>
    <row r="10" spans="2:12" ht="15.75" thickBot="1">
      <c r="B10" s="136" t="s">
        <v>12</v>
      </c>
      <c r="C10" s="137">
        <f>SUM(C6:C9)</f>
        <v>26878.342507508882</v>
      </c>
      <c r="D10" s="137">
        <f>SUM(D6:D9)</f>
        <v>40816.789654386077</v>
      </c>
      <c r="E10" s="137">
        <f>SUM(E6:E9)</f>
        <v>44289.284525358788</v>
      </c>
      <c r="F10" s="137">
        <f>SUM(F6:F9)</f>
        <v>41715.754525358789</v>
      </c>
    </row>
    <row r="11" spans="2:12" ht="15.75" thickBot="1">
      <c r="H11" s="140"/>
      <c r="I11" s="140"/>
      <c r="J11" s="140"/>
      <c r="K11" s="140"/>
    </row>
    <row r="12" spans="2:12" ht="15.75" thickBot="1">
      <c r="B12" s="141" t="s">
        <v>111</v>
      </c>
      <c r="C12" s="142"/>
      <c r="D12" s="142"/>
      <c r="E12" s="143"/>
      <c r="F12" s="135"/>
    </row>
    <row r="13" spans="2:12">
      <c r="B13" s="144" t="s">
        <v>112</v>
      </c>
      <c r="C13" s="145" t="s">
        <v>114</v>
      </c>
      <c r="D13" s="146">
        <f>Oświetlenie!G9</f>
        <v>370.24889999999999</v>
      </c>
      <c r="E13" s="147" t="s">
        <v>114</v>
      </c>
      <c r="F13" s="147"/>
    </row>
    <row r="14" spans="2:12" ht="15.75" thickBot="1">
      <c r="B14" s="148" t="s">
        <v>113</v>
      </c>
      <c r="C14" s="149" t="s">
        <v>114</v>
      </c>
      <c r="D14" s="150">
        <f>'Obiekty publiczne'!J22+'Obiekty publiczne'!K22</f>
        <v>48.15</v>
      </c>
      <c r="E14" s="151" t="s">
        <v>114</v>
      </c>
      <c r="F14" s="151"/>
    </row>
    <row r="15" spans="2:12" ht="15.75" thickBot="1">
      <c r="L15" s="135"/>
    </row>
    <row r="16" spans="2:12" ht="15.75" thickBot="1">
      <c r="B16" s="658" t="s">
        <v>116</v>
      </c>
      <c r="C16" s="659"/>
      <c r="D16" s="135"/>
      <c r="E16" s="135"/>
      <c r="F16" s="135"/>
    </row>
    <row r="17" spans="2:8" ht="58.5" customHeight="1">
      <c r="B17" s="152"/>
      <c r="C17" s="159">
        <v>2000</v>
      </c>
      <c r="D17" s="160">
        <v>2013</v>
      </c>
      <c r="E17" s="161" t="s">
        <v>163</v>
      </c>
      <c r="F17" s="164" t="s">
        <v>165</v>
      </c>
    </row>
    <row r="18" spans="2:8" ht="18">
      <c r="B18" s="153" t="s">
        <v>117</v>
      </c>
      <c r="C18" s="138">
        <f>C10</f>
        <v>26878.342507508882</v>
      </c>
      <c r="D18" s="139">
        <f>D10</f>
        <v>40816.789654386077</v>
      </c>
      <c r="E18" s="154">
        <f>E10</f>
        <v>44289.284525358788</v>
      </c>
      <c r="F18" s="154">
        <f>F10</f>
        <v>41715.754525358789</v>
      </c>
    </row>
    <row r="19" spans="2:8">
      <c r="B19" s="153" t="s">
        <v>53</v>
      </c>
      <c r="C19" s="170">
        <f>Charakterystyka!C9</f>
        <v>6251</v>
      </c>
      <c r="D19" s="171">
        <f>Charakterystyka!O9</f>
        <v>6083</v>
      </c>
      <c r="E19" s="172">
        <f>Charakterystyka!AD9</f>
        <v>5950</v>
      </c>
      <c r="F19" s="172">
        <f>E19</f>
        <v>5950</v>
      </c>
    </row>
    <row r="20" spans="2:8" ht="33">
      <c r="B20" s="153" t="s">
        <v>118</v>
      </c>
      <c r="C20" s="138">
        <f>C18/C19</f>
        <v>4.2998468257093077</v>
      </c>
      <c r="D20" s="138">
        <f t="shared" ref="D20:E20" si="2">D18/D19</f>
        <v>6.7099769282239157</v>
      </c>
      <c r="E20" s="155">
        <f t="shared" si="2"/>
        <v>7.4435772311527373</v>
      </c>
      <c r="F20" s="155">
        <f t="shared" ref="F20" si="3">F18/F19</f>
        <v>7.0110511807325695</v>
      </c>
      <c r="H20" s="253"/>
    </row>
    <row r="21" spans="2:8" ht="33.75" thickBot="1">
      <c r="B21" s="158" t="s">
        <v>119</v>
      </c>
      <c r="C21" s="156">
        <f>C18/C19/365*1000</f>
        <v>11.780402262217281</v>
      </c>
      <c r="D21" s="156">
        <f t="shared" ref="D21:E21" si="4">D18/D19/365*1000</f>
        <v>18.383498433490178</v>
      </c>
      <c r="E21" s="157">
        <f t="shared" si="4"/>
        <v>20.393362277130787</v>
      </c>
      <c r="F21" s="157">
        <f t="shared" ref="F21" si="5">F18/F19/365*1000</f>
        <v>19.208359399267316</v>
      </c>
    </row>
    <row r="74" spans="8:12" ht="15.75" thickBot="1"/>
    <row r="75" spans="8:12" ht="15.75" thickBot="1">
      <c r="H75" s="656" t="s">
        <v>274</v>
      </c>
      <c r="I75" s="657"/>
      <c r="J75" s="135"/>
      <c r="K75" s="135"/>
      <c r="L75" s="135"/>
    </row>
    <row r="76" spans="8:12" ht="60">
      <c r="H76" s="162"/>
      <c r="I76" s="165">
        <v>2000</v>
      </c>
      <c r="J76" s="166">
        <v>2013</v>
      </c>
      <c r="K76" s="166" t="s">
        <v>163</v>
      </c>
      <c r="L76" s="164" t="s">
        <v>164</v>
      </c>
    </row>
    <row r="77" spans="8:12">
      <c r="H77" s="163" t="s">
        <v>108</v>
      </c>
      <c r="I77" s="138">
        <f>'En. elektryczna'!C6</f>
        <v>1781.3</v>
      </c>
      <c r="J77" s="139">
        <f>'En. elektryczna'!C10</f>
        <v>4804.45</v>
      </c>
      <c r="K77" s="139">
        <f>'En. elektryczna'!C14</f>
        <v>5781.5554869862763</v>
      </c>
      <c r="L77" s="139">
        <f>K77</f>
        <v>5781.5554869862763</v>
      </c>
    </row>
    <row r="78" spans="8:12">
      <c r="H78" s="163" t="s">
        <v>110</v>
      </c>
      <c r="I78" s="138">
        <f>Ciepło!H9</f>
        <v>34355.429166666661</v>
      </c>
      <c r="J78" s="139">
        <f>Ciepło!H16</f>
        <v>43827.032499999994</v>
      </c>
      <c r="K78" s="139">
        <f>Ciepło!H24</f>
        <v>46756.634166666656</v>
      </c>
      <c r="L78" s="139">
        <f>K78</f>
        <v>46756.634166666656</v>
      </c>
    </row>
    <row r="79" spans="8:12" ht="15.75" thickBot="1">
      <c r="H79" s="167" t="s">
        <v>121</v>
      </c>
      <c r="I79" s="168"/>
      <c r="J79" s="169"/>
      <c r="K79" s="169"/>
      <c r="L79" s="373">
        <v>-2578.86</v>
      </c>
    </row>
    <row r="80" spans="8:12" ht="15.75" thickBot="1">
      <c r="H80" s="136" t="s">
        <v>12</v>
      </c>
      <c r="I80" s="137">
        <f>SUM(I77:I79)</f>
        <v>36136.729166666664</v>
      </c>
      <c r="J80" s="137">
        <f>SUM(J77:J79)</f>
        <v>48631.482499999991</v>
      </c>
      <c r="K80" s="137">
        <f>SUM(K77:K79)</f>
        <v>52538.189653652931</v>
      </c>
      <c r="L80" s="137">
        <f>SUM(L77:L79)</f>
        <v>49959.329653652931</v>
      </c>
    </row>
  </sheetData>
  <mergeCells count="4">
    <mergeCell ref="B4:C4"/>
    <mergeCell ref="B16:C16"/>
    <mergeCell ref="H4:I4"/>
    <mergeCell ref="H75:I7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2" manualBreakCount="2">
    <brk id="21" max="11" man="1"/>
    <brk id="55" max="11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showGridLines="0" view="pageBreakPreview" zoomScaleNormal="100" zoomScaleSheetLayoutView="100" workbookViewId="0">
      <selection activeCell="F6" sqref="F6"/>
    </sheetView>
  </sheetViews>
  <sheetFormatPr defaultRowHeight="14.25"/>
  <cols>
    <col min="1" max="1" width="4.125" customWidth="1"/>
    <col min="2" max="2" width="13.375" customWidth="1"/>
    <col min="3" max="3" width="12.125" customWidth="1"/>
    <col min="4" max="4" width="14.75" customWidth="1"/>
    <col min="5" max="5" width="15" customWidth="1"/>
    <col min="6" max="6" width="14.375" customWidth="1"/>
  </cols>
  <sheetData>
    <row r="1" spans="2:6" ht="15" thickBot="1"/>
    <row r="2" spans="2:6" ht="15">
      <c r="B2" s="660" t="s">
        <v>258</v>
      </c>
      <c r="C2" s="661"/>
      <c r="D2" s="661"/>
      <c r="E2" s="661"/>
      <c r="F2" s="662"/>
    </row>
    <row r="3" spans="2:6" ht="45">
      <c r="B3" s="504"/>
      <c r="C3" s="505">
        <v>2000</v>
      </c>
      <c r="D3" s="506">
        <v>2013</v>
      </c>
      <c r="E3" s="506" t="s">
        <v>163</v>
      </c>
      <c r="F3" s="507" t="s">
        <v>165</v>
      </c>
    </row>
    <row r="4" spans="2:6" ht="30">
      <c r="B4" s="508" t="s">
        <v>259</v>
      </c>
      <c r="C4" s="509">
        <f>Bilans!C10</f>
        <v>26878.342507508882</v>
      </c>
      <c r="D4" s="510">
        <f>Bilans!D10</f>
        <v>40816.789654386077</v>
      </c>
      <c r="E4" s="510">
        <f>Bilans!E10</f>
        <v>44289.284525358788</v>
      </c>
      <c r="F4" s="511">
        <f>E4-F5</f>
        <v>41715.754525358789</v>
      </c>
    </row>
    <row r="5" spans="2:6" ht="45">
      <c r="B5" s="508" t="s">
        <v>260</v>
      </c>
      <c r="C5" s="512"/>
      <c r="D5" s="663"/>
      <c r="E5" s="664"/>
      <c r="F5" s="513">
        <v>2573.5300000000002</v>
      </c>
    </row>
    <row r="6" spans="2:6" ht="45">
      <c r="B6" s="508" t="s">
        <v>261</v>
      </c>
      <c r="C6" s="514">
        <f>F5/C4</f>
        <v>9.5747347489193002E-2</v>
      </c>
      <c r="D6" s="515">
        <f>F5/D4</f>
        <v>6.3050769592396264E-2</v>
      </c>
      <c r="E6" s="515">
        <f>F5/E4</f>
        <v>5.8107283230698158E-2</v>
      </c>
      <c r="F6" s="516">
        <f>F5/F4</f>
        <v>6.1692040076503106E-2</v>
      </c>
    </row>
    <row r="7" spans="2:6" ht="30">
      <c r="B7" s="508" t="s">
        <v>262</v>
      </c>
      <c r="C7" s="665">
        <f>F5/4</f>
        <v>643.38250000000005</v>
      </c>
      <c r="D7" s="666"/>
      <c r="E7" s="666"/>
      <c r="F7" s="667"/>
    </row>
    <row r="8" spans="2:6" ht="45">
      <c r="B8" s="508" t="s">
        <v>263</v>
      </c>
      <c r="C8" s="509">
        <f>Bilans!I80</f>
        <v>36136.729166666664</v>
      </c>
      <c r="D8" s="517">
        <f>Bilans!J80</f>
        <v>48631.482499999991</v>
      </c>
      <c r="E8" s="517">
        <f>Bilans!K80</f>
        <v>52538.189653652931</v>
      </c>
      <c r="F8" s="518">
        <f>E8-F9</f>
        <v>49959.329653652931</v>
      </c>
    </row>
    <row r="9" spans="2:6" ht="45">
      <c r="B9" s="508" t="s">
        <v>264</v>
      </c>
      <c r="C9" s="512"/>
      <c r="D9" s="663"/>
      <c r="E9" s="664"/>
      <c r="F9" s="513">
        <v>2578.86</v>
      </c>
    </row>
    <row r="10" spans="2:6" ht="45">
      <c r="B10" s="508" t="s">
        <v>265</v>
      </c>
      <c r="C10" s="514">
        <f>F9/C8</f>
        <v>7.1363957377160711E-2</v>
      </c>
      <c r="D10" s="515">
        <f>F9/D8</f>
        <v>5.3028611661180607E-2</v>
      </c>
      <c r="E10" s="515">
        <f>F9/E8</f>
        <v>4.9085437031625899E-2</v>
      </c>
      <c r="F10" s="516">
        <f>F9/F8</f>
        <v>5.1619187404597991E-2</v>
      </c>
    </row>
    <row r="11" spans="2:6" ht="45">
      <c r="B11" s="508" t="s">
        <v>266</v>
      </c>
      <c r="C11" s="665">
        <f>F9/4</f>
        <v>644.71500000000003</v>
      </c>
      <c r="D11" s="666"/>
      <c r="E11" s="666"/>
      <c r="F11" s="667"/>
    </row>
    <row r="12" spans="2:6" ht="30">
      <c r="B12" s="508" t="s">
        <v>267</v>
      </c>
      <c r="C12" s="519" t="s">
        <v>162</v>
      </c>
      <c r="D12" s="520" t="s">
        <v>162</v>
      </c>
      <c r="E12" s="520" t="s">
        <v>162</v>
      </c>
      <c r="F12" s="513">
        <v>1408.46</v>
      </c>
    </row>
    <row r="13" spans="2:6" ht="30">
      <c r="B13" s="508" t="s">
        <v>268</v>
      </c>
      <c r="C13" s="514">
        <f>F12/C8</f>
        <v>3.8975857319682256E-2</v>
      </c>
      <c r="D13" s="521">
        <f>F12/D8</f>
        <v>2.8961897264801671E-2</v>
      </c>
      <c r="E13" s="522">
        <f>F12/E8</f>
        <v>2.6808308571060008E-2</v>
      </c>
      <c r="F13" s="516">
        <f>F12/F8</f>
        <v>2.8192131675189844E-2</v>
      </c>
    </row>
    <row r="14" spans="2:6" ht="54.75" customHeight="1" thickBot="1">
      <c r="B14" s="523" t="s">
        <v>269</v>
      </c>
      <c r="C14" s="668">
        <f>F12/4</f>
        <v>352.11500000000001</v>
      </c>
      <c r="D14" s="669"/>
      <c r="E14" s="669"/>
      <c r="F14" s="670"/>
    </row>
  </sheetData>
  <mergeCells count="6">
    <mergeCell ref="C14:F14"/>
    <mergeCell ref="B2:F2"/>
    <mergeCell ref="D5:E5"/>
    <mergeCell ref="C7:F7"/>
    <mergeCell ref="D9:E9"/>
    <mergeCell ref="C11: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view="pageBreakPreview" topLeftCell="A4" zoomScale="60" zoomScaleNormal="100" workbookViewId="0">
      <selection activeCell="I13" sqref="I13"/>
    </sheetView>
  </sheetViews>
  <sheetFormatPr defaultRowHeight="15"/>
  <cols>
    <col min="1" max="1" width="2.5" style="11" customWidth="1"/>
    <col min="2" max="2" width="26.125" style="11" bestFit="1" customWidth="1"/>
    <col min="3" max="4" width="13.625" style="11" customWidth="1"/>
    <col min="5" max="5" width="42.125" style="179" customWidth="1"/>
    <col min="6" max="6" width="13.5" style="11" bestFit="1" customWidth="1"/>
    <col min="7" max="7" width="2.5" style="11" customWidth="1"/>
    <col min="8" max="8" width="9.125" style="11" bestFit="1" customWidth="1"/>
    <col min="9" max="9" width="12.75" style="11" customWidth="1"/>
    <col min="10" max="10" width="13.75" style="11" customWidth="1"/>
    <col min="11" max="11" width="18" style="11" customWidth="1"/>
    <col min="12" max="12" width="13.5" style="11" bestFit="1" customWidth="1"/>
    <col min="13" max="13" width="9" style="11" customWidth="1"/>
    <col min="14" max="14" width="11.625" style="11" customWidth="1"/>
    <col min="15" max="15" width="9" style="11" customWidth="1"/>
    <col min="16" max="18" width="11.625" style="11" customWidth="1"/>
    <col min="19" max="19" width="9" style="11" customWidth="1"/>
    <col min="20" max="16384" width="9" style="11"/>
  </cols>
  <sheetData>
    <row r="1" spans="2:12" s="17" customFormat="1" ht="15" customHeight="1" thickBot="1">
      <c r="E1" s="176"/>
      <c r="J1" s="209"/>
      <c r="K1" s="209"/>
      <c r="L1" s="209"/>
    </row>
    <row r="2" spans="2:12" s="17" customFormat="1" ht="19.5" thickBot="1">
      <c r="B2" s="18" t="s">
        <v>101</v>
      </c>
      <c r="C2" s="19"/>
      <c r="D2" s="19"/>
      <c r="E2" s="177"/>
      <c r="F2" s="19"/>
      <c r="G2" s="19"/>
      <c r="H2" s="19"/>
      <c r="I2" s="19"/>
      <c r="J2" s="209"/>
      <c r="K2" s="209"/>
      <c r="L2" s="209"/>
    </row>
    <row r="3" spans="2:12" s="17" customFormat="1" ht="15" customHeight="1" thickBot="1">
      <c r="E3" s="176"/>
      <c r="J3" s="209"/>
      <c r="K3" s="209"/>
      <c r="L3" s="209"/>
    </row>
    <row r="4" spans="2:12" s="17" customFormat="1" ht="15" customHeight="1" thickBot="1">
      <c r="B4" s="126" t="s">
        <v>132</v>
      </c>
      <c r="E4" s="176"/>
      <c r="J4" s="209"/>
      <c r="K4" s="209"/>
      <c r="L4" s="209"/>
    </row>
    <row r="5" spans="2:12" ht="18.75" customHeight="1">
      <c r="B5" s="127" t="s">
        <v>106</v>
      </c>
      <c r="C5" s="128" t="s">
        <v>126</v>
      </c>
      <c r="D5" s="174" t="s">
        <v>125</v>
      </c>
      <c r="E5" s="129" t="s">
        <v>107</v>
      </c>
      <c r="J5" s="201"/>
      <c r="K5" s="201"/>
      <c r="L5" s="201"/>
    </row>
    <row r="6" spans="2:12" ht="58.5" customHeight="1">
      <c r="B6" s="130" t="s">
        <v>102</v>
      </c>
      <c r="C6" s="132">
        <v>0.247</v>
      </c>
      <c r="D6" s="175" t="s">
        <v>127</v>
      </c>
      <c r="E6" s="173" t="s">
        <v>131</v>
      </c>
      <c r="J6" s="201"/>
      <c r="K6" s="201"/>
      <c r="L6" s="201"/>
    </row>
    <row r="7" spans="2:12" ht="60">
      <c r="B7" s="130" t="s">
        <v>103</v>
      </c>
      <c r="C7" s="131">
        <v>9.8000000000000004E-2</v>
      </c>
      <c r="D7" s="175" t="s">
        <v>127</v>
      </c>
      <c r="E7" s="173" t="s">
        <v>130</v>
      </c>
    </row>
    <row r="8" spans="2:12" ht="60">
      <c r="B8" s="130" t="s">
        <v>104</v>
      </c>
      <c r="C8" s="131">
        <v>7.5999999999999998E-2</v>
      </c>
      <c r="D8" s="175" t="s">
        <v>127</v>
      </c>
      <c r="E8" s="173" t="s">
        <v>130</v>
      </c>
    </row>
    <row r="9" spans="2:12" ht="60">
      <c r="B9" s="130" t="s">
        <v>74</v>
      </c>
      <c r="C9" s="131">
        <v>5.5E-2</v>
      </c>
      <c r="D9" s="175" t="s">
        <v>127</v>
      </c>
      <c r="E9" s="173" t="s">
        <v>130</v>
      </c>
    </row>
    <row r="10" spans="2:12" ht="60">
      <c r="B10" s="130" t="s">
        <v>105</v>
      </c>
      <c r="C10" s="131">
        <v>9.4E-2</v>
      </c>
      <c r="D10" s="175" t="s">
        <v>127</v>
      </c>
      <c r="E10" s="173" t="s">
        <v>130</v>
      </c>
    </row>
    <row r="11" spans="2:12" ht="37.5" customHeight="1">
      <c r="B11" s="130" t="s">
        <v>122</v>
      </c>
      <c r="C11" s="131">
        <v>155</v>
      </c>
      <c r="D11" s="175" t="s">
        <v>128</v>
      </c>
      <c r="E11" s="173" t="s">
        <v>129</v>
      </c>
    </row>
    <row r="12" spans="2:12" ht="37.5" customHeight="1">
      <c r="B12" s="130" t="s">
        <v>123</v>
      </c>
      <c r="C12" s="131">
        <v>200</v>
      </c>
      <c r="D12" s="175" t="s">
        <v>128</v>
      </c>
      <c r="E12" s="173" t="s">
        <v>129</v>
      </c>
    </row>
    <row r="13" spans="2:12" ht="37.5" customHeight="1">
      <c r="B13" s="130" t="s">
        <v>34</v>
      </c>
      <c r="C13" s="131">
        <v>450</v>
      </c>
      <c r="D13" s="175" t="s">
        <v>128</v>
      </c>
      <c r="E13" s="173" t="s">
        <v>129</v>
      </c>
    </row>
    <row r="14" spans="2:12" ht="37.5" customHeight="1">
      <c r="B14" s="130" t="s">
        <v>124</v>
      </c>
      <c r="C14" s="131">
        <v>900</v>
      </c>
      <c r="D14" s="175" t="s">
        <v>128</v>
      </c>
      <c r="E14" s="173" t="s">
        <v>129</v>
      </c>
    </row>
    <row r="15" spans="2:12" ht="37.5" customHeight="1" thickBot="1">
      <c r="B15" s="133" t="s">
        <v>48</v>
      </c>
      <c r="C15" s="134">
        <v>450</v>
      </c>
      <c r="D15" s="210" t="s">
        <v>128</v>
      </c>
      <c r="E15" s="178" t="s">
        <v>129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showGridLines="0" view="pageBreakPreview" topLeftCell="B45" zoomScale="71" zoomScaleNormal="90" zoomScaleSheetLayoutView="71" workbookViewId="0">
      <selection activeCell="Z50" sqref="Z50"/>
    </sheetView>
  </sheetViews>
  <sheetFormatPr defaultRowHeight="15"/>
  <cols>
    <col min="1" max="1" width="2.5" style="11" customWidth="1"/>
    <col min="2" max="2" width="17.5" style="11" customWidth="1"/>
    <col min="3" max="30" width="7" style="11" customWidth="1"/>
    <col min="31" max="16384" width="9" style="11"/>
  </cols>
  <sheetData>
    <row r="1" spans="2:30" s="17" customFormat="1" ht="15" customHeight="1" thickBot="1"/>
    <row r="2" spans="2:30" s="17" customFormat="1" ht="19.5" thickBot="1">
      <c r="B2" s="18" t="s">
        <v>51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20"/>
    </row>
    <row r="3" spans="2:30" s="17" customFormat="1" ht="19.5" thickBot="1"/>
    <row r="4" spans="2:30" s="17" customFormat="1" ht="19.5" thickBot="1">
      <c r="B4" s="89" t="s">
        <v>66</v>
      </c>
      <c r="C4" s="9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30" s="17" customFormat="1" ht="19.5" thickBot="1">
      <c r="B5" s="93" t="s">
        <v>20</v>
      </c>
      <c r="C5" s="94">
        <v>2000</v>
      </c>
      <c r="D5" s="94">
        <v>2001</v>
      </c>
      <c r="E5" s="94">
        <v>2002</v>
      </c>
      <c r="F5" s="94">
        <v>2003</v>
      </c>
      <c r="G5" s="94">
        <v>2004</v>
      </c>
      <c r="H5" s="94">
        <v>2005</v>
      </c>
      <c r="I5" s="94">
        <v>2006</v>
      </c>
      <c r="J5" s="94">
        <v>2007</v>
      </c>
      <c r="K5" s="94">
        <v>2008</v>
      </c>
      <c r="L5" s="94">
        <v>2009</v>
      </c>
      <c r="M5" s="94">
        <v>2010</v>
      </c>
      <c r="N5" s="94">
        <v>2011</v>
      </c>
      <c r="O5" s="94">
        <v>2012</v>
      </c>
      <c r="P5" s="94">
        <v>2013</v>
      </c>
      <c r="Q5" s="94">
        <v>2014</v>
      </c>
      <c r="R5" s="94">
        <v>2015</v>
      </c>
      <c r="S5" s="94">
        <v>2016</v>
      </c>
      <c r="T5" s="94">
        <v>2017</v>
      </c>
      <c r="U5" s="94">
        <v>2018</v>
      </c>
      <c r="V5" s="94">
        <v>2019</v>
      </c>
      <c r="W5" s="95">
        <v>2020</v>
      </c>
    </row>
    <row r="6" spans="2:30" ht="15.75" thickBot="1"/>
    <row r="7" spans="2:30" ht="15.75" thickBot="1">
      <c r="B7" s="89" t="s">
        <v>53</v>
      </c>
      <c r="C7" s="90"/>
      <c r="V7" s="526" t="s">
        <v>58</v>
      </c>
      <c r="W7" s="527"/>
      <c r="X7" s="527"/>
      <c r="Y7" s="527"/>
      <c r="Z7" s="528"/>
    </row>
    <row r="8" spans="2:30">
      <c r="B8" s="78" t="s">
        <v>20</v>
      </c>
      <c r="C8" s="79">
        <v>2000</v>
      </c>
      <c r="D8" s="79">
        <v>2001</v>
      </c>
      <c r="E8" s="79">
        <v>2002</v>
      </c>
      <c r="F8" s="79">
        <v>2003</v>
      </c>
      <c r="G8" s="79">
        <v>2004</v>
      </c>
      <c r="H8" s="79">
        <v>2005</v>
      </c>
      <c r="I8" s="79">
        <v>2006</v>
      </c>
      <c r="J8" s="79">
        <v>2007</v>
      </c>
      <c r="K8" s="79">
        <v>2008</v>
      </c>
      <c r="L8" s="79">
        <v>2009</v>
      </c>
      <c r="M8" s="79">
        <v>2010</v>
      </c>
      <c r="N8" s="79">
        <v>2011</v>
      </c>
      <c r="O8" s="79">
        <v>2012</v>
      </c>
      <c r="P8" s="92">
        <v>2013</v>
      </c>
      <c r="Q8" s="536" t="s">
        <v>57</v>
      </c>
      <c r="R8" s="537"/>
      <c r="S8" s="537"/>
      <c r="T8" s="538"/>
      <c r="V8" s="532" t="s">
        <v>20</v>
      </c>
      <c r="W8" s="533"/>
      <c r="X8" s="79">
        <v>2014</v>
      </c>
      <c r="Y8" s="79">
        <v>2015</v>
      </c>
      <c r="Z8" s="79">
        <v>2016</v>
      </c>
      <c r="AA8" s="79">
        <v>2017</v>
      </c>
      <c r="AB8" s="79">
        <v>2018</v>
      </c>
      <c r="AC8" s="79">
        <v>2019</v>
      </c>
      <c r="AD8" s="80">
        <v>2020</v>
      </c>
    </row>
    <row r="9" spans="2:30" ht="30.75" customHeight="1" thickBot="1">
      <c r="B9" s="81" t="s">
        <v>68</v>
      </c>
      <c r="C9" s="82">
        <v>6251</v>
      </c>
      <c r="D9" s="82">
        <v>6294</v>
      </c>
      <c r="E9" s="82">
        <v>6274</v>
      </c>
      <c r="F9" s="82">
        <v>6229</v>
      </c>
      <c r="G9" s="82">
        <v>6208</v>
      </c>
      <c r="H9" s="82">
        <v>6188</v>
      </c>
      <c r="I9" s="82">
        <v>6160</v>
      </c>
      <c r="J9" s="82">
        <v>6160</v>
      </c>
      <c r="K9" s="82">
        <v>6139</v>
      </c>
      <c r="L9" s="82">
        <v>6094</v>
      </c>
      <c r="M9" s="82">
        <v>6108</v>
      </c>
      <c r="N9" s="82">
        <v>6068</v>
      </c>
      <c r="O9" s="82">
        <v>6083</v>
      </c>
      <c r="P9" s="82">
        <v>6088</v>
      </c>
      <c r="Q9" s="539">
        <f>(P9/G9)^(1/10)-1</f>
        <v>-1.9500124825193588E-3</v>
      </c>
      <c r="R9" s="540"/>
      <c r="S9" s="540"/>
      <c r="T9" s="541"/>
      <c r="V9" s="547" t="s">
        <v>68</v>
      </c>
      <c r="W9" s="548"/>
      <c r="X9" s="96">
        <v>6022</v>
      </c>
      <c r="Y9" s="96">
        <f>INT(X9*(1+Q9))</f>
        <v>6010</v>
      </c>
      <c r="Z9" s="96">
        <f>INT(Y9*(1+Q9))</f>
        <v>5998</v>
      </c>
      <c r="AA9" s="96">
        <f>INT(Z9*(1+Q9))</f>
        <v>5986</v>
      </c>
      <c r="AB9" s="96">
        <f>INT(AA9*(1+Q9))</f>
        <v>5974</v>
      </c>
      <c r="AC9" s="96">
        <f>INT(AB9*(1+Q9))</f>
        <v>5962</v>
      </c>
      <c r="AD9" s="97">
        <f>INT(AC9*(1+Q9))</f>
        <v>5950</v>
      </c>
    </row>
    <row r="15" spans="2:30">
      <c r="O15" s="252"/>
    </row>
    <row r="25" spans="2:30" ht="15.75" thickBot="1"/>
    <row r="26" spans="2:30" ht="15.75" thickBot="1">
      <c r="B26" s="89" t="s">
        <v>64</v>
      </c>
      <c r="C26" s="90"/>
      <c r="V26" s="526" t="s">
        <v>65</v>
      </c>
      <c r="W26" s="527"/>
      <c r="X26" s="527"/>
      <c r="Y26" s="527"/>
      <c r="Z26" s="528"/>
    </row>
    <row r="27" spans="2:30">
      <c r="B27" s="78" t="s">
        <v>20</v>
      </c>
      <c r="C27" s="79">
        <v>2000</v>
      </c>
      <c r="D27" s="79">
        <v>2001</v>
      </c>
      <c r="E27" s="79">
        <v>2002</v>
      </c>
      <c r="F27" s="79">
        <v>2003</v>
      </c>
      <c r="G27" s="79">
        <v>2004</v>
      </c>
      <c r="H27" s="79">
        <v>2005</v>
      </c>
      <c r="I27" s="79">
        <v>2006</v>
      </c>
      <c r="J27" s="79">
        <v>2007</v>
      </c>
      <c r="K27" s="79">
        <v>2008</v>
      </c>
      <c r="L27" s="79">
        <v>2009</v>
      </c>
      <c r="M27" s="79">
        <v>2010</v>
      </c>
      <c r="N27" s="79">
        <v>2011</v>
      </c>
      <c r="O27" s="79">
        <v>2012</v>
      </c>
      <c r="P27" s="92">
        <v>2013</v>
      </c>
      <c r="Q27" s="536" t="s">
        <v>57</v>
      </c>
      <c r="R27" s="537"/>
      <c r="S27" s="537"/>
      <c r="T27" s="538"/>
      <c r="V27" s="532" t="s">
        <v>20</v>
      </c>
      <c r="W27" s="533"/>
      <c r="X27" s="79">
        <v>2014</v>
      </c>
      <c r="Y27" s="79">
        <v>2015</v>
      </c>
      <c r="Z27" s="79">
        <v>2016</v>
      </c>
      <c r="AA27" s="79">
        <v>2017</v>
      </c>
      <c r="AB27" s="79">
        <v>2018</v>
      </c>
      <c r="AC27" s="79">
        <v>2019</v>
      </c>
      <c r="AD27" s="80">
        <v>2020</v>
      </c>
    </row>
    <row r="28" spans="2:30" ht="15.75" thickBot="1">
      <c r="B28" s="81" t="s">
        <v>67</v>
      </c>
      <c r="C28" s="96">
        <v>2038</v>
      </c>
      <c r="D28" s="96">
        <v>2041</v>
      </c>
      <c r="E28" s="96">
        <v>1973</v>
      </c>
      <c r="F28" s="96">
        <v>1980</v>
      </c>
      <c r="G28" s="96">
        <v>1988</v>
      </c>
      <c r="H28" s="96">
        <v>1993</v>
      </c>
      <c r="I28" s="96">
        <v>1995</v>
      </c>
      <c r="J28" s="96">
        <v>2005</v>
      </c>
      <c r="K28" s="96">
        <v>2015</v>
      </c>
      <c r="L28" s="96">
        <v>2022</v>
      </c>
      <c r="M28" s="96">
        <v>1992</v>
      </c>
      <c r="N28" s="96">
        <v>2005</v>
      </c>
      <c r="O28" s="96">
        <v>2017</v>
      </c>
      <c r="P28" s="96">
        <v>2029</v>
      </c>
      <c r="Q28" s="539">
        <f>(P28/G28)^(1/10)-1</f>
        <v>2.0434803268083446E-3</v>
      </c>
      <c r="R28" s="540"/>
      <c r="S28" s="540"/>
      <c r="T28" s="541"/>
      <c r="V28" s="530" t="s">
        <v>67</v>
      </c>
      <c r="W28" s="531"/>
      <c r="X28" s="96">
        <v>2041</v>
      </c>
      <c r="Y28" s="96">
        <f>X28+$Q$48</f>
        <v>2052.6999999999998</v>
      </c>
      <c r="Z28" s="96">
        <f t="shared" ref="Z28:AC28" si="0">Y28+$Q$48</f>
        <v>2064.3999999999996</v>
      </c>
      <c r="AA28" s="96">
        <f t="shared" si="0"/>
        <v>2076.0999999999995</v>
      </c>
      <c r="AB28" s="96">
        <f t="shared" si="0"/>
        <v>2087.7999999999993</v>
      </c>
      <c r="AC28" s="96">
        <f t="shared" si="0"/>
        <v>2099.4999999999991</v>
      </c>
      <c r="AD28" s="97">
        <f>AC28+Q48</f>
        <v>2111.1999999999989</v>
      </c>
    </row>
    <row r="38" spans="2:22">
      <c r="O38" s="252"/>
    </row>
    <row r="45" spans="2:22" ht="15.75" thickBot="1"/>
    <row r="46" spans="2:22" ht="15.75" thickBot="1">
      <c r="B46" s="250" t="s">
        <v>54</v>
      </c>
      <c r="C46" s="90"/>
    </row>
    <row r="47" spans="2:22">
      <c r="B47" s="78" t="s">
        <v>20</v>
      </c>
      <c r="C47" s="79">
        <v>2000</v>
      </c>
      <c r="D47" s="79">
        <v>2001</v>
      </c>
      <c r="E47" s="79">
        <v>2002</v>
      </c>
      <c r="F47" s="79">
        <v>2003</v>
      </c>
      <c r="G47" s="79">
        <v>2004</v>
      </c>
      <c r="H47" s="79">
        <v>2005</v>
      </c>
      <c r="I47" s="79">
        <v>2006</v>
      </c>
      <c r="J47" s="79">
        <v>2007</v>
      </c>
      <c r="K47" s="79">
        <v>2008</v>
      </c>
      <c r="L47" s="79">
        <v>2009</v>
      </c>
      <c r="M47" s="79">
        <v>2010</v>
      </c>
      <c r="N47" s="79">
        <v>2011</v>
      </c>
      <c r="O47" s="79">
        <v>2012</v>
      </c>
      <c r="P47" s="80">
        <v>2013</v>
      </c>
      <c r="Q47" s="536" t="s">
        <v>137</v>
      </c>
      <c r="R47" s="537"/>
      <c r="S47" s="537"/>
      <c r="T47" s="538"/>
      <c r="V47" s="21"/>
    </row>
    <row r="48" spans="2:22" ht="15.75" customHeight="1" thickBot="1">
      <c r="B48" s="81" t="s">
        <v>59</v>
      </c>
      <c r="C48" s="82">
        <v>1</v>
      </c>
      <c r="D48" s="82">
        <v>3</v>
      </c>
      <c r="E48" s="82">
        <v>5</v>
      </c>
      <c r="F48" s="82">
        <v>8</v>
      </c>
      <c r="G48" s="82">
        <v>13</v>
      </c>
      <c r="H48" s="82">
        <v>9</v>
      </c>
      <c r="I48" s="82">
        <v>4</v>
      </c>
      <c r="J48" s="82">
        <v>12</v>
      </c>
      <c r="K48" s="82">
        <v>14</v>
      </c>
      <c r="L48" s="82">
        <v>8</v>
      </c>
      <c r="M48" s="82">
        <v>13</v>
      </c>
      <c r="N48" s="82">
        <v>14</v>
      </c>
      <c r="O48" s="82">
        <v>16</v>
      </c>
      <c r="P48" s="82">
        <v>14</v>
      </c>
      <c r="Q48" s="549">
        <f>SUM(G48:P48)/10</f>
        <v>11.7</v>
      </c>
      <c r="R48" s="550"/>
      <c r="S48" s="550"/>
      <c r="T48" s="551"/>
    </row>
    <row r="64" ht="15.75" thickBot="1"/>
    <row r="65" spans="2:30" ht="18" thickBot="1">
      <c r="B65" s="86" t="s">
        <v>55</v>
      </c>
      <c r="C65" s="87"/>
      <c r="D65" s="88"/>
      <c r="V65" s="526" t="s">
        <v>60</v>
      </c>
      <c r="W65" s="527"/>
      <c r="X65" s="527"/>
      <c r="Y65" s="527"/>
      <c r="Z65" s="528"/>
    </row>
    <row r="66" spans="2:30">
      <c r="B66" s="84" t="s">
        <v>20</v>
      </c>
      <c r="C66" s="85">
        <v>2000</v>
      </c>
      <c r="D66" s="85">
        <v>2001</v>
      </c>
      <c r="E66" s="79">
        <v>2002</v>
      </c>
      <c r="F66" s="79">
        <v>2003</v>
      </c>
      <c r="G66" s="79">
        <v>2004</v>
      </c>
      <c r="H66" s="79">
        <v>2005</v>
      </c>
      <c r="I66" s="79">
        <v>2006</v>
      </c>
      <c r="J66" s="79">
        <v>2007</v>
      </c>
      <c r="K66" s="79">
        <v>2008</v>
      </c>
      <c r="L66" s="79">
        <v>2009</v>
      </c>
      <c r="M66" s="79">
        <v>2010</v>
      </c>
      <c r="N66" s="79">
        <v>2011</v>
      </c>
      <c r="O66" s="79">
        <v>2012</v>
      </c>
      <c r="P66" s="80">
        <v>2013</v>
      </c>
      <c r="Q66" s="536" t="s">
        <v>57</v>
      </c>
      <c r="R66" s="537"/>
      <c r="S66" s="537"/>
      <c r="T66" s="538"/>
      <c r="V66" s="532" t="s">
        <v>20</v>
      </c>
      <c r="W66" s="533"/>
      <c r="X66" s="79">
        <v>2014</v>
      </c>
      <c r="Y66" s="79">
        <v>2015</v>
      </c>
      <c r="Z66" s="79">
        <v>2016</v>
      </c>
      <c r="AA66" s="79">
        <v>2017</v>
      </c>
      <c r="AB66" s="79">
        <v>2018</v>
      </c>
      <c r="AC66" s="79">
        <v>2019</v>
      </c>
      <c r="AD66" s="80">
        <v>2020</v>
      </c>
    </row>
    <row r="67" spans="2:30" ht="30.75" thickBot="1">
      <c r="B67" s="81" t="s">
        <v>70</v>
      </c>
      <c r="C67" s="82">
        <v>150645</v>
      </c>
      <c r="D67" s="82">
        <v>151224</v>
      </c>
      <c r="E67" s="82">
        <v>172916</v>
      </c>
      <c r="F67" s="82">
        <v>173943</v>
      </c>
      <c r="G67" s="82">
        <v>175281</v>
      </c>
      <c r="H67" s="82">
        <v>176187</v>
      </c>
      <c r="I67" s="82">
        <v>176630</v>
      </c>
      <c r="J67" s="82">
        <v>177972</v>
      </c>
      <c r="K67" s="82">
        <v>179693</v>
      </c>
      <c r="L67" s="82">
        <v>180806</v>
      </c>
      <c r="M67" s="82">
        <v>186890</v>
      </c>
      <c r="N67" s="82">
        <v>188791</v>
      </c>
      <c r="O67" s="82">
        <v>190432</v>
      </c>
      <c r="P67" s="83">
        <v>192177</v>
      </c>
      <c r="Q67" s="539">
        <f>(P67/G67)^(1/10)-1</f>
        <v>9.2451166976033061E-3</v>
      </c>
      <c r="R67" s="540"/>
      <c r="S67" s="540"/>
      <c r="T67" s="541"/>
      <c r="V67" s="530" t="s">
        <v>69</v>
      </c>
      <c r="W67" s="531"/>
      <c r="X67" s="96">
        <v>194013</v>
      </c>
      <c r="Y67" s="96">
        <f>INT(X67*(1+Q67))</f>
        <v>195806</v>
      </c>
      <c r="Z67" s="96">
        <f>INT(Y67*(1+Q67))</f>
        <v>197616</v>
      </c>
      <c r="AA67" s="96">
        <f>INT(Z67*(1+Q67))</f>
        <v>199442</v>
      </c>
      <c r="AB67" s="96">
        <f>INT(AA67*(1+Q67))</f>
        <v>201285</v>
      </c>
      <c r="AC67" s="96">
        <f>INT(AB67*(1+Q67))</f>
        <v>203145</v>
      </c>
      <c r="AD67" s="97">
        <f>INT(AC67*(1+Q67))</f>
        <v>205023</v>
      </c>
    </row>
    <row r="83" spans="2:30" ht="15.75" thickBot="1"/>
    <row r="84" spans="2:30" ht="18" thickBot="1">
      <c r="B84" s="86" t="s">
        <v>138</v>
      </c>
      <c r="C84" s="87"/>
      <c r="D84" s="88"/>
      <c r="V84" s="542" t="s">
        <v>139</v>
      </c>
      <c r="W84" s="543"/>
      <c r="X84" s="543"/>
      <c r="Y84" s="543"/>
      <c r="Z84" s="543"/>
      <c r="AA84" s="544"/>
    </row>
    <row r="85" spans="2:30">
      <c r="B85" s="84" t="s">
        <v>20</v>
      </c>
      <c r="C85" s="85">
        <v>2000</v>
      </c>
      <c r="D85" s="85">
        <v>2001</v>
      </c>
      <c r="E85" s="79">
        <v>2002</v>
      </c>
      <c r="F85" s="79">
        <v>2003</v>
      </c>
      <c r="G85" s="79">
        <v>2004</v>
      </c>
      <c r="H85" s="79">
        <v>2005</v>
      </c>
      <c r="I85" s="79">
        <v>2006</v>
      </c>
      <c r="J85" s="79">
        <v>2007</v>
      </c>
      <c r="K85" s="79">
        <v>2008</v>
      </c>
      <c r="L85" s="79">
        <v>2009</v>
      </c>
      <c r="M85" s="79">
        <v>2010</v>
      </c>
      <c r="N85" s="79">
        <v>2011</v>
      </c>
      <c r="O85" s="79">
        <v>2012</v>
      </c>
      <c r="P85" s="80">
        <v>2013</v>
      </c>
      <c r="Q85" s="536" t="s">
        <v>57</v>
      </c>
      <c r="R85" s="537"/>
      <c r="S85" s="537"/>
      <c r="T85" s="538"/>
      <c r="V85" s="532" t="s">
        <v>20</v>
      </c>
      <c r="W85" s="533"/>
      <c r="X85" s="79">
        <v>2014</v>
      </c>
      <c r="Y85" s="79">
        <v>2015</v>
      </c>
      <c r="Z85" s="79">
        <v>2016</v>
      </c>
      <c r="AA85" s="79">
        <v>2017</v>
      </c>
      <c r="AB85" s="79">
        <v>2018</v>
      </c>
      <c r="AC85" s="79">
        <v>2019</v>
      </c>
      <c r="AD85" s="80">
        <v>2020</v>
      </c>
    </row>
    <row r="86" spans="2:30" ht="30.75" customHeight="1" thickBot="1">
      <c r="B86" s="81" t="s">
        <v>61</v>
      </c>
      <c r="C86" s="100" t="s">
        <v>152</v>
      </c>
      <c r="D86" s="100" t="s">
        <v>152</v>
      </c>
      <c r="E86" s="100">
        <v>87.6</v>
      </c>
      <c r="F86" s="100">
        <v>87.9</v>
      </c>
      <c r="G86" s="100">
        <v>88.2</v>
      </c>
      <c r="H86" s="100">
        <v>88.4</v>
      </c>
      <c r="I86" s="100">
        <v>88.5</v>
      </c>
      <c r="J86" s="100">
        <v>88.8</v>
      </c>
      <c r="K86" s="100">
        <v>89.2</v>
      </c>
      <c r="L86" s="100">
        <v>89.4</v>
      </c>
      <c r="M86" s="100">
        <v>93.8</v>
      </c>
      <c r="N86" s="100">
        <v>94.2</v>
      </c>
      <c r="O86" s="100">
        <v>94.4</v>
      </c>
      <c r="P86" s="101">
        <v>94.7</v>
      </c>
      <c r="Q86" s="539">
        <f>(P86/F86)^(1/10)-1</f>
        <v>7.4792504603966581E-3</v>
      </c>
      <c r="R86" s="540"/>
      <c r="S86" s="540"/>
      <c r="T86" s="541"/>
      <c r="V86" s="530" t="s">
        <v>61</v>
      </c>
      <c r="W86" s="531"/>
      <c r="X86" s="98">
        <f>X67/X28</f>
        <v>95.057814796668296</v>
      </c>
      <c r="Y86" s="98">
        <f t="shared" ref="Y86:AC86" si="1">Y67/Y28</f>
        <v>95.389487017099441</v>
      </c>
      <c r="Z86" s="98">
        <f t="shared" si="1"/>
        <v>95.725634566944407</v>
      </c>
      <c r="AA86" s="98">
        <f t="shared" si="1"/>
        <v>96.065700110784675</v>
      </c>
      <c r="AB86" s="98">
        <f t="shared" si="1"/>
        <v>96.410096752562538</v>
      </c>
      <c r="AC86" s="98">
        <f t="shared" si="1"/>
        <v>96.758752083829521</v>
      </c>
      <c r="AD86" s="99">
        <f>AD67/AD28</f>
        <v>97.112068965517295</v>
      </c>
    </row>
    <row r="89" spans="2:30">
      <c r="P89" s="254"/>
    </row>
    <row r="102" spans="2:30" ht="15.75" thickBot="1"/>
    <row r="103" spans="2:30" ht="15.75" thickBot="1">
      <c r="B103" s="91" t="s">
        <v>56</v>
      </c>
      <c r="C103" s="88"/>
      <c r="D103" s="88"/>
      <c r="V103" s="526" t="s">
        <v>62</v>
      </c>
      <c r="W103" s="527"/>
      <c r="X103" s="527"/>
      <c r="Y103" s="527"/>
      <c r="Z103" s="527"/>
      <c r="AA103" s="528"/>
    </row>
    <row r="104" spans="2:30">
      <c r="B104" s="84" t="s">
        <v>20</v>
      </c>
      <c r="C104" s="79">
        <v>2000</v>
      </c>
      <c r="D104" s="79">
        <v>2001</v>
      </c>
      <c r="E104" s="79">
        <v>2002</v>
      </c>
      <c r="F104" s="79">
        <v>2003</v>
      </c>
      <c r="G104" s="79">
        <v>2004</v>
      </c>
      <c r="H104" s="79">
        <v>2005</v>
      </c>
      <c r="I104" s="79">
        <v>2006</v>
      </c>
      <c r="J104" s="79">
        <v>2007</v>
      </c>
      <c r="K104" s="79">
        <v>2008</v>
      </c>
      <c r="L104" s="79">
        <v>2009</v>
      </c>
      <c r="M104" s="79">
        <v>2010</v>
      </c>
      <c r="N104" s="79">
        <v>2011</v>
      </c>
      <c r="O104" s="79">
        <v>2012</v>
      </c>
      <c r="P104" s="80">
        <v>2013</v>
      </c>
      <c r="Q104" s="536" t="s">
        <v>57</v>
      </c>
      <c r="R104" s="537"/>
      <c r="S104" s="537"/>
      <c r="T104" s="538"/>
      <c r="V104" s="532" t="s">
        <v>20</v>
      </c>
      <c r="W104" s="533"/>
      <c r="X104" s="79">
        <v>2014</v>
      </c>
      <c r="Y104" s="79">
        <v>2015</v>
      </c>
      <c r="Z104" s="79">
        <v>2016</v>
      </c>
      <c r="AA104" s="79">
        <v>2017</v>
      </c>
      <c r="AB104" s="79">
        <v>2018</v>
      </c>
      <c r="AC104" s="79">
        <v>2019</v>
      </c>
      <c r="AD104" s="80">
        <v>2020</v>
      </c>
    </row>
    <row r="105" spans="2:30" ht="30.75" customHeight="1" thickBot="1">
      <c r="B105" s="81" t="s">
        <v>63</v>
      </c>
      <c r="C105" s="82" t="s">
        <v>152</v>
      </c>
      <c r="D105" s="82" t="s">
        <v>153</v>
      </c>
      <c r="E105" s="82">
        <v>397</v>
      </c>
      <c r="F105" s="82">
        <v>389</v>
      </c>
      <c r="G105" s="82">
        <v>361</v>
      </c>
      <c r="H105" s="82">
        <v>351</v>
      </c>
      <c r="I105" s="82">
        <v>355</v>
      </c>
      <c r="J105" s="82">
        <v>360</v>
      </c>
      <c r="K105" s="82">
        <v>357</v>
      </c>
      <c r="L105" s="82">
        <v>336</v>
      </c>
      <c r="M105" s="82">
        <v>370</v>
      </c>
      <c r="N105" s="82">
        <v>387</v>
      </c>
      <c r="O105" s="82">
        <v>411</v>
      </c>
      <c r="P105" s="83">
        <v>433</v>
      </c>
      <c r="Q105" s="539">
        <f>(P105/L105)^(1/5)-1</f>
        <v>5.2033874200900332E-2</v>
      </c>
      <c r="R105" s="540"/>
      <c r="S105" s="540"/>
      <c r="T105" s="541"/>
      <c r="V105" s="530" t="s">
        <v>63</v>
      </c>
      <c r="W105" s="531"/>
      <c r="X105" s="96">
        <v>428</v>
      </c>
      <c r="Y105" s="96">
        <f>INT(X105*(1+Q105))</f>
        <v>450</v>
      </c>
      <c r="Z105" s="96">
        <f>INT(Y105*(1+Q105))</f>
        <v>473</v>
      </c>
      <c r="AA105" s="96">
        <f>INT(Z105*(1+Q105))</f>
        <v>497</v>
      </c>
      <c r="AB105" s="96">
        <f>INT(AA105*(1+Q105))</f>
        <v>522</v>
      </c>
      <c r="AC105" s="96">
        <f>INT(AB105*(1+Q105))</f>
        <v>549</v>
      </c>
      <c r="AD105" s="97">
        <f>INT(AC105*(1+Q105))</f>
        <v>577</v>
      </c>
    </row>
    <row r="109" spans="2:30">
      <c r="O109" s="252"/>
    </row>
    <row r="122" spans="1:30">
      <c r="A122" s="201"/>
      <c r="B122" s="215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529"/>
      <c r="W122" s="529"/>
      <c r="X122" s="529"/>
      <c r="Y122" s="529"/>
      <c r="Z122" s="529"/>
      <c r="AA122" s="529"/>
      <c r="AB122" s="201"/>
      <c r="AC122" s="201"/>
      <c r="AD122" s="201"/>
    </row>
    <row r="123" spans="1:30">
      <c r="A123" s="201"/>
      <c r="B123" s="216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534"/>
      <c r="R123" s="534"/>
      <c r="S123" s="534"/>
      <c r="T123" s="534"/>
      <c r="U123" s="201"/>
      <c r="V123" s="546"/>
      <c r="W123" s="546"/>
      <c r="X123" s="217"/>
      <c r="Y123" s="217"/>
      <c r="Z123" s="217"/>
      <c r="AA123" s="217"/>
      <c r="AB123" s="217"/>
      <c r="AC123" s="217"/>
      <c r="AD123" s="217"/>
    </row>
    <row r="124" spans="1:30">
      <c r="A124" s="201"/>
      <c r="B124" s="218"/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535"/>
      <c r="R124" s="535"/>
      <c r="S124" s="535"/>
      <c r="T124" s="535"/>
      <c r="U124" s="201"/>
      <c r="V124" s="545"/>
      <c r="W124" s="545"/>
      <c r="X124" s="219"/>
      <c r="Y124" s="219"/>
      <c r="Z124" s="219"/>
      <c r="AA124" s="219"/>
      <c r="AB124" s="219"/>
      <c r="AC124" s="219"/>
      <c r="AD124" s="219"/>
    </row>
    <row r="125" spans="1:30">
      <c r="A125" s="201"/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</row>
    <row r="126" spans="1:30">
      <c r="A126" s="201"/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</row>
  </sheetData>
  <mergeCells count="32">
    <mergeCell ref="V8:W8"/>
    <mergeCell ref="V9:W9"/>
    <mergeCell ref="V7:Z7"/>
    <mergeCell ref="Q47:T47"/>
    <mergeCell ref="Q48:T48"/>
    <mergeCell ref="V26:Z26"/>
    <mergeCell ref="Q27:T27"/>
    <mergeCell ref="V27:W27"/>
    <mergeCell ref="Q28:T28"/>
    <mergeCell ref="Q9:T9"/>
    <mergeCell ref="Q8:T8"/>
    <mergeCell ref="V28:W28"/>
    <mergeCell ref="Q123:T123"/>
    <mergeCell ref="Q124:T124"/>
    <mergeCell ref="V66:W66"/>
    <mergeCell ref="V67:W67"/>
    <mergeCell ref="V85:W85"/>
    <mergeCell ref="Q66:T66"/>
    <mergeCell ref="Q67:T67"/>
    <mergeCell ref="Q85:T85"/>
    <mergeCell ref="Q86:T86"/>
    <mergeCell ref="Q104:T104"/>
    <mergeCell ref="Q105:T105"/>
    <mergeCell ref="V103:AA103"/>
    <mergeCell ref="V84:AA84"/>
    <mergeCell ref="V124:W124"/>
    <mergeCell ref="V123:W123"/>
    <mergeCell ref="V65:Z65"/>
    <mergeCell ref="V122:AA122"/>
    <mergeCell ref="V86:W86"/>
    <mergeCell ref="V104:W104"/>
    <mergeCell ref="V105:W10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2" manualBreakCount="2">
    <brk id="64" max="29" man="1"/>
    <brk id="121" max="2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showGridLines="0" view="pageBreakPreview" zoomScale="90" zoomScaleNormal="100" zoomScaleSheetLayoutView="90" workbookViewId="0">
      <selection activeCell="I21" sqref="I21"/>
    </sheetView>
  </sheetViews>
  <sheetFormatPr defaultRowHeight="15"/>
  <cols>
    <col min="1" max="1" width="2.5" style="11" customWidth="1"/>
    <col min="2" max="2" width="9" style="11"/>
    <col min="3" max="3" width="11.875" style="11" customWidth="1"/>
    <col min="4" max="4" width="13.5" style="11" bestFit="1" customWidth="1"/>
    <col min="5" max="5" width="15.625" style="11" customWidth="1"/>
    <col min="6" max="6" width="13.5" style="11" bestFit="1" customWidth="1"/>
    <col min="7" max="7" width="2.5" style="11" customWidth="1"/>
    <col min="8" max="8" width="9.125" style="11" bestFit="1" customWidth="1"/>
    <col min="9" max="9" width="12.75" style="11" customWidth="1"/>
    <col min="10" max="10" width="13.75" style="11" customWidth="1"/>
    <col min="11" max="11" width="18" style="11" customWidth="1"/>
    <col min="12" max="12" width="13.5" style="11" bestFit="1" customWidth="1"/>
    <col min="13" max="13" width="9" style="11" customWidth="1"/>
    <col min="14" max="14" width="11.625" style="11" customWidth="1"/>
    <col min="15" max="15" width="9" style="11" customWidth="1"/>
    <col min="16" max="18" width="11.625" style="11" customWidth="1"/>
    <col min="19" max="19" width="9" style="11" customWidth="1"/>
    <col min="20" max="16384" width="9" style="11"/>
  </cols>
  <sheetData>
    <row r="1" spans="2:19" s="17" customFormat="1" ht="15" customHeight="1" thickBot="1"/>
    <row r="2" spans="2:19" s="17" customFormat="1" ht="19.5" thickBot="1">
      <c r="B2" s="18" t="s">
        <v>25</v>
      </c>
      <c r="C2" s="19"/>
      <c r="D2" s="19"/>
      <c r="E2" s="19"/>
      <c r="F2" s="19"/>
      <c r="G2" s="19"/>
      <c r="H2" s="19"/>
      <c r="I2" s="19"/>
      <c r="J2" s="19"/>
      <c r="K2" s="20"/>
    </row>
    <row r="3" spans="2:19" s="17" customFormat="1" ht="15" customHeight="1" thickBot="1"/>
    <row r="4" spans="2:19" s="17" customFormat="1" ht="15" customHeight="1" thickBot="1">
      <c r="B4" s="296" t="s">
        <v>158</v>
      </c>
      <c r="C4" s="11"/>
      <c r="D4" s="11"/>
      <c r="E4" s="11"/>
      <c r="F4" s="11"/>
    </row>
    <row r="5" spans="2:19" s="17" customFormat="1" ht="15" customHeight="1" thickBot="1">
      <c r="B5" s="295"/>
      <c r="C5" s="8" t="s">
        <v>14</v>
      </c>
      <c r="D5" s="32" t="s">
        <v>18</v>
      </c>
      <c r="E5" s="10" t="s">
        <v>19</v>
      </c>
    </row>
    <row r="6" spans="2:19" s="17" customFormat="1" ht="15" customHeight="1" thickBot="1">
      <c r="B6" s="291"/>
      <c r="C6" s="297">
        <v>1781.3</v>
      </c>
      <c r="D6" s="298">
        <v>0.89</v>
      </c>
      <c r="E6" s="299">
        <f>C6*D6</f>
        <v>1585.357</v>
      </c>
    </row>
    <row r="7" spans="2:19" s="17" customFormat="1" ht="15" customHeight="1" thickBot="1"/>
    <row r="8" spans="2:19" s="17" customFormat="1" ht="15" customHeight="1" thickBot="1">
      <c r="B8" s="296" t="s">
        <v>159</v>
      </c>
      <c r="C8" s="11"/>
      <c r="D8" s="11"/>
      <c r="E8" s="11"/>
    </row>
    <row r="9" spans="2:19" s="17" customFormat="1" ht="15" customHeight="1" thickBot="1">
      <c r="B9" s="295"/>
      <c r="C9" s="8" t="s">
        <v>14</v>
      </c>
      <c r="D9" s="32" t="s">
        <v>18</v>
      </c>
      <c r="E9" s="10" t="s">
        <v>19</v>
      </c>
    </row>
    <row r="10" spans="2:19" s="17" customFormat="1" ht="15" customHeight="1" thickBot="1">
      <c r="B10" s="291"/>
      <c r="C10" s="297">
        <v>4804.45</v>
      </c>
      <c r="D10" s="298">
        <v>0.89</v>
      </c>
      <c r="E10" s="299">
        <f>C10*D10</f>
        <v>4275.9605000000001</v>
      </c>
    </row>
    <row r="11" spans="2:19" s="17" customFormat="1" ht="15" customHeight="1" thickBot="1">
      <c r="B11" s="11"/>
      <c r="C11" s="11"/>
      <c r="D11" s="11"/>
      <c r="E11" s="11"/>
    </row>
    <row r="12" spans="2:19" s="17" customFormat="1" ht="15" customHeight="1" thickBot="1">
      <c r="B12" s="552" t="s">
        <v>115</v>
      </c>
      <c r="C12" s="553"/>
      <c r="D12" s="11"/>
      <c r="E12" s="11"/>
      <c r="F12" s="11"/>
    </row>
    <row r="13" spans="2:19" ht="33.75" thickBot="1">
      <c r="B13" s="295"/>
      <c r="C13" s="8" t="s">
        <v>14</v>
      </c>
      <c r="D13" s="9" t="s">
        <v>18</v>
      </c>
      <c r="E13" s="10" t="s">
        <v>19</v>
      </c>
    </row>
    <row r="14" spans="2:19" s="21" customFormat="1" ht="15.75" thickBot="1">
      <c r="B14" s="291"/>
      <c r="C14" s="297">
        <f>D29</f>
        <v>5781.5554869862763</v>
      </c>
      <c r="D14" s="298">
        <v>0.89</v>
      </c>
      <c r="E14" s="299">
        <f>D14*C14</f>
        <v>5145.5843834177858</v>
      </c>
    </row>
    <row r="15" spans="2:19">
      <c r="M15" s="22"/>
    </row>
    <row r="16" spans="2:19">
      <c r="L16" s="25"/>
      <c r="N16" s="23"/>
      <c r="P16" s="23"/>
      <c r="Q16" s="23"/>
      <c r="R16" s="23"/>
      <c r="S16" s="24"/>
    </row>
    <row r="17" spans="1:19">
      <c r="L17" s="25"/>
      <c r="N17" s="23"/>
      <c r="P17" s="23"/>
      <c r="Q17" s="23"/>
      <c r="R17" s="23"/>
      <c r="S17" s="24"/>
    </row>
    <row r="18" spans="1:19" ht="15.75" thickBot="1">
      <c r="L18" s="25"/>
      <c r="N18" s="23"/>
      <c r="P18" s="23"/>
      <c r="Q18" s="23"/>
      <c r="R18" s="23"/>
      <c r="S18" s="24"/>
    </row>
    <row r="19" spans="1:19" ht="15.75" thickBot="1">
      <c r="B19" s="187" t="s">
        <v>21</v>
      </c>
      <c r="C19" s="188"/>
      <c r="D19" s="189"/>
      <c r="E19" s="26"/>
      <c r="L19" s="25"/>
      <c r="N19" s="23"/>
      <c r="P19" s="23"/>
      <c r="Q19" s="23"/>
      <c r="R19" s="23"/>
    </row>
    <row r="20" spans="1:19" ht="75.75" thickBot="1">
      <c r="B20" s="37" t="s">
        <v>20</v>
      </c>
      <c r="C20" s="32" t="s">
        <v>22</v>
      </c>
      <c r="D20" s="32" t="s">
        <v>23</v>
      </c>
      <c r="E20" s="32" t="s">
        <v>18</v>
      </c>
      <c r="F20" s="33" t="s">
        <v>19</v>
      </c>
      <c r="L20" s="25"/>
      <c r="N20" s="23"/>
      <c r="P20" s="23"/>
      <c r="Q20" s="23"/>
      <c r="R20" s="23"/>
    </row>
    <row r="21" spans="1:19">
      <c r="B21" s="51">
        <v>2000</v>
      </c>
      <c r="C21" s="34">
        <f>C6</f>
        <v>1781.3</v>
      </c>
      <c r="D21" s="38"/>
      <c r="E21" s="35">
        <v>0.89</v>
      </c>
      <c r="F21" s="36">
        <f>C21*E21</f>
        <v>1585.357</v>
      </c>
      <c r="L21" s="25"/>
      <c r="N21" s="23"/>
    </row>
    <row r="22" spans="1:19">
      <c r="A22" s="26"/>
      <c r="B22" s="52">
        <v>2013</v>
      </c>
      <c r="C22" s="30">
        <f>C10</f>
        <v>4804.45</v>
      </c>
      <c r="D22" s="39"/>
      <c r="E22" s="28">
        <v>0.89</v>
      </c>
      <c r="F22" s="29">
        <f>C22*E22</f>
        <v>4275.9605000000001</v>
      </c>
      <c r="G22" s="26"/>
      <c r="J22" s="251"/>
      <c r="K22" s="25"/>
      <c r="L22" s="25"/>
      <c r="N22" s="23"/>
    </row>
    <row r="23" spans="1:19">
      <c r="A23" s="26"/>
      <c r="B23" s="52">
        <v>2014</v>
      </c>
      <c r="C23" s="30"/>
      <c r="D23" s="39">
        <f>2.68*C22/100+C22</f>
        <v>4933.2092599999996</v>
      </c>
      <c r="E23" s="28">
        <v>0.89</v>
      </c>
      <c r="F23" s="29">
        <f t="shared" ref="F23:F29" si="0">E23*D23</f>
        <v>4390.5562413999996</v>
      </c>
      <c r="G23" s="26"/>
      <c r="K23" s="23"/>
      <c r="N23" s="23"/>
    </row>
    <row r="24" spans="1:19">
      <c r="A24" s="26"/>
      <c r="B24" s="52">
        <v>2015</v>
      </c>
      <c r="C24" s="30"/>
      <c r="D24" s="39">
        <f t="shared" ref="D24:D28" si="1">2.68*D23/100+D23</f>
        <v>5065.4192681679997</v>
      </c>
      <c r="E24" s="28">
        <v>0.89</v>
      </c>
      <c r="F24" s="29">
        <f t="shared" si="0"/>
        <v>4508.22314866952</v>
      </c>
      <c r="G24" s="26"/>
      <c r="K24" s="23"/>
      <c r="N24" s="23"/>
    </row>
    <row r="25" spans="1:19">
      <c r="A25" s="26"/>
      <c r="B25" s="52">
        <v>2016</v>
      </c>
      <c r="C25" s="30"/>
      <c r="D25" s="39">
        <f t="shared" si="1"/>
        <v>5201.1725045549019</v>
      </c>
      <c r="E25" s="28">
        <v>0.89</v>
      </c>
      <c r="F25" s="29">
        <f t="shared" si="0"/>
        <v>4629.0435290538626</v>
      </c>
      <c r="G25" s="26"/>
      <c r="K25" s="23"/>
      <c r="N25" s="23"/>
    </row>
    <row r="26" spans="1:19">
      <c r="A26" s="26"/>
      <c r="B26" s="52">
        <v>2017</v>
      </c>
      <c r="C26" s="30"/>
      <c r="D26" s="39">
        <f t="shared" si="1"/>
        <v>5340.5639276769734</v>
      </c>
      <c r="E26" s="28">
        <v>0.89</v>
      </c>
      <c r="F26" s="29">
        <f t="shared" si="0"/>
        <v>4753.1018956325061</v>
      </c>
      <c r="G26" s="26"/>
      <c r="K26" s="23"/>
      <c r="N26" s="23"/>
    </row>
    <row r="27" spans="1:19">
      <c r="A27" s="26"/>
      <c r="B27" s="52">
        <v>2018</v>
      </c>
      <c r="C27" s="30"/>
      <c r="D27" s="39">
        <f t="shared" si="1"/>
        <v>5483.6910409387165</v>
      </c>
      <c r="E27" s="28">
        <v>0.89</v>
      </c>
      <c r="F27" s="29">
        <f t="shared" si="0"/>
        <v>4880.4850264354582</v>
      </c>
      <c r="G27" s="27"/>
      <c r="K27" s="23"/>
    </row>
    <row r="28" spans="1:19">
      <c r="A28" s="26"/>
      <c r="B28" s="52">
        <v>2019</v>
      </c>
      <c r="C28" s="30"/>
      <c r="D28" s="39">
        <f t="shared" si="1"/>
        <v>5630.6539608358744</v>
      </c>
      <c r="E28" s="28">
        <v>0.89</v>
      </c>
      <c r="F28" s="29">
        <f t="shared" si="0"/>
        <v>5011.282025143928</v>
      </c>
    </row>
    <row r="29" spans="1:19" ht="15.75" thickBot="1">
      <c r="A29" s="26"/>
      <c r="B29" s="53">
        <v>2020</v>
      </c>
      <c r="C29" s="184"/>
      <c r="D29" s="40">
        <f>2.68*D28/100+D28</f>
        <v>5781.5554869862763</v>
      </c>
      <c r="E29" s="185">
        <v>0.89</v>
      </c>
      <c r="F29" s="186">
        <f t="shared" si="0"/>
        <v>5145.5843834177858</v>
      </c>
    </row>
    <row r="30" spans="1:19" ht="15.75" thickBot="1">
      <c r="A30" s="26"/>
    </row>
    <row r="31" spans="1:19" ht="15.75" thickBot="1">
      <c r="A31" s="26"/>
      <c r="F31" s="26"/>
      <c r="G31" s="26"/>
      <c r="H31" s="187" t="s">
        <v>24</v>
      </c>
      <c r="I31" s="190"/>
    </row>
    <row r="32" spans="1:19" ht="18.75" thickBot="1">
      <c r="A32" s="26"/>
      <c r="G32" s="31"/>
      <c r="H32" s="41" t="s">
        <v>15</v>
      </c>
      <c r="I32" s="32" t="s">
        <v>16</v>
      </c>
      <c r="J32" s="33" t="s">
        <v>17</v>
      </c>
    </row>
    <row r="33" spans="2:10">
      <c r="G33" s="26"/>
      <c r="H33" s="48">
        <f>B21</f>
        <v>2000</v>
      </c>
      <c r="I33" s="42">
        <f>C21</f>
        <v>1781.3</v>
      </c>
      <c r="J33" s="43">
        <f>F21</f>
        <v>1585.357</v>
      </c>
    </row>
    <row r="34" spans="2:10">
      <c r="G34" s="26"/>
      <c r="H34" s="49">
        <f>B22</f>
        <v>2013</v>
      </c>
      <c r="I34" s="44">
        <f>C22</f>
        <v>4804.45</v>
      </c>
      <c r="J34" s="45">
        <f>F22</f>
        <v>4275.9605000000001</v>
      </c>
    </row>
    <row r="35" spans="2:10" ht="15.75" thickBot="1">
      <c r="G35" s="26"/>
      <c r="H35" s="50">
        <f>B29</f>
        <v>2020</v>
      </c>
      <c r="I35" s="46">
        <f>D29</f>
        <v>5781.5554869862763</v>
      </c>
      <c r="J35" s="47">
        <f>F29</f>
        <v>5145.5843834177858</v>
      </c>
    </row>
    <row r="36" spans="2:10">
      <c r="G36" s="26"/>
    </row>
    <row r="37" spans="2:10">
      <c r="G37" s="26"/>
    </row>
    <row r="38" spans="2:10">
      <c r="G38" s="26"/>
    </row>
    <row r="41" spans="2:10" s="21" customFormat="1">
      <c r="B41" s="11"/>
      <c r="C41" s="11"/>
      <c r="D41" s="11"/>
      <c r="E41" s="11"/>
    </row>
  </sheetData>
  <mergeCells count="1">
    <mergeCell ref="B12:C1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"/>
  <sheetViews>
    <sheetView view="pageBreakPreview" topLeftCell="A25" zoomScaleNormal="100" zoomScaleSheetLayoutView="100" workbookViewId="0">
      <selection activeCell="K36" sqref="K36"/>
    </sheetView>
  </sheetViews>
  <sheetFormatPr defaultRowHeight="15"/>
  <cols>
    <col min="1" max="1" width="2.5" style="11" customWidth="1"/>
    <col min="2" max="2" width="9" style="11"/>
    <col min="3" max="3" width="11.875" style="11" customWidth="1"/>
    <col min="4" max="4" width="13.5" style="11" bestFit="1" customWidth="1"/>
    <col min="5" max="5" width="15.625" style="11" customWidth="1"/>
    <col min="6" max="6" width="13.5" style="11" bestFit="1" customWidth="1"/>
    <col min="7" max="7" width="2.75" style="11" customWidth="1"/>
    <col min="8" max="8" width="9.125" style="11" bestFit="1" customWidth="1"/>
    <col min="9" max="9" width="12.75" style="11" customWidth="1"/>
    <col min="10" max="10" width="13.75" style="11" customWidth="1"/>
    <col min="11" max="11" width="18" style="11" customWidth="1"/>
    <col min="12" max="12" width="13.5" style="11" bestFit="1" customWidth="1"/>
    <col min="13" max="13" width="9" style="11" customWidth="1"/>
    <col min="14" max="14" width="11.625" style="11" customWidth="1"/>
    <col min="15" max="15" width="9" style="11" customWidth="1"/>
    <col min="16" max="18" width="11.625" style="11" customWidth="1"/>
    <col min="19" max="19" width="9" style="11" customWidth="1"/>
    <col min="20" max="16384" width="9" style="11"/>
  </cols>
  <sheetData>
    <row r="1" spans="2:12" s="17" customFormat="1" ht="15" customHeight="1" thickBot="1"/>
    <row r="2" spans="2:12" s="17" customFormat="1" ht="19.5" thickBot="1">
      <c r="B2" s="18" t="s">
        <v>26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s="17" customFormat="1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9"/>
  <sheetViews>
    <sheetView view="pageBreakPreview" topLeftCell="A40" zoomScale="80" zoomScaleNormal="70" zoomScaleSheetLayoutView="80" workbookViewId="0">
      <selection activeCell="H57" sqref="H57"/>
    </sheetView>
  </sheetViews>
  <sheetFormatPr defaultRowHeight="15"/>
  <cols>
    <col min="1" max="1" width="2.5" style="11" customWidth="1"/>
    <col min="2" max="2" width="14.5" style="11" customWidth="1"/>
    <col min="3" max="3" width="11.875" style="11" customWidth="1"/>
    <col min="4" max="4" width="13.5" style="11" bestFit="1" customWidth="1"/>
    <col min="5" max="5" width="15.625" style="11" customWidth="1"/>
    <col min="6" max="6" width="13.5" style="11" bestFit="1" customWidth="1"/>
    <col min="7" max="7" width="10.25" style="11" customWidth="1"/>
    <col min="8" max="8" width="12.75" style="11" customWidth="1"/>
    <col min="9" max="9" width="14.875" style="11" customWidth="1"/>
    <col min="10" max="10" width="10.75" style="11" customWidth="1"/>
    <col min="11" max="11" width="68.375" style="11" hidden="1" customWidth="1"/>
    <col min="12" max="12" width="47" style="11" hidden="1" customWidth="1"/>
    <col min="13" max="13" width="9" style="11" customWidth="1"/>
    <col min="14" max="14" width="11.625" style="11" customWidth="1"/>
    <col min="15" max="15" width="9" style="11" customWidth="1"/>
    <col min="16" max="18" width="11.625" style="11" customWidth="1"/>
    <col min="19" max="19" width="9" style="11" customWidth="1"/>
    <col min="20" max="16384" width="9" style="11"/>
  </cols>
  <sheetData>
    <row r="1" spans="2:12" s="17" customFormat="1" ht="15" customHeight="1" thickBot="1"/>
    <row r="2" spans="2:12" s="17" customFormat="1" ht="19.5" thickBot="1">
      <c r="B2" s="18" t="s">
        <v>52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s="17" customFormat="1" ht="15" customHeight="1" thickBot="1"/>
    <row r="4" spans="2:12" ht="15.75" customHeight="1" thickBot="1">
      <c r="B4" s="587" t="s">
        <v>203</v>
      </c>
      <c r="C4" s="588"/>
      <c r="D4" s="588"/>
      <c r="E4" s="588"/>
      <c r="F4" s="589"/>
      <c r="G4" s="31"/>
      <c r="H4" s="31"/>
      <c r="I4" s="31"/>
      <c r="J4" s="31"/>
      <c r="K4" s="31"/>
      <c r="L4" s="17"/>
    </row>
    <row r="5" spans="2:12" ht="18" customHeight="1">
      <c r="B5" s="77"/>
      <c r="C5" s="564" t="s">
        <v>43</v>
      </c>
      <c r="D5" s="559" t="s">
        <v>45</v>
      </c>
      <c r="E5" s="559" t="s">
        <v>256</v>
      </c>
      <c r="F5" s="557" t="s">
        <v>19</v>
      </c>
    </row>
    <row r="6" spans="2:12" ht="33.75" customHeight="1">
      <c r="B6" s="76"/>
      <c r="C6" s="565"/>
      <c r="D6" s="560"/>
      <c r="E6" s="560"/>
      <c r="F6" s="558"/>
    </row>
    <row r="7" spans="2:12">
      <c r="B7" s="578" t="s">
        <v>32</v>
      </c>
      <c r="C7" s="591">
        <f>(935*6274)/58309</f>
        <v>100.60522389339553</v>
      </c>
      <c r="D7" s="566">
        <v>7000</v>
      </c>
      <c r="E7" s="566">
        <v>155</v>
      </c>
      <c r="F7" s="554">
        <f>(C7*D7*E7)/1000000</f>
        <v>109.15666792433414</v>
      </c>
    </row>
    <row r="8" spans="2:12">
      <c r="B8" s="579"/>
      <c r="C8" s="573"/>
      <c r="D8" s="567"/>
      <c r="E8" s="567"/>
      <c r="F8" s="555"/>
    </row>
    <row r="9" spans="2:12">
      <c r="B9" s="580"/>
      <c r="C9" s="574"/>
      <c r="D9" s="568"/>
      <c r="E9" s="568"/>
      <c r="F9" s="556"/>
    </row>
    <row r="10" spans="2:12">
      <c r="B10" s="590" t="s">
        <v>46</v>
      </c>
      <c r="C10" s="591">
        <f>(16965*6274)/58309</f>
        <v>1825.4199180229466</v>
      </c>
      <c r="D10" s="566">
        <v>13076</v>
      </c>
      <c r="E10" s="566">
        <v>155</v>
      </c>
      <c r="F10" s="554">
        <f>(C10*D10*E10)/1000000</f>
        <v>3699.7245814505477</v>
      </c>
    </row>
    <row r="11" spans="2:12">
      <c r="B11" s="590"/>
      <c r="C11" s="573"/>
      <c r="D11" s="567"/>
      <c r="E11" s="567"/>
      <c r="F11" s="555"/>
    </row>
    <row r="12" spans="2:12">
      <c r="B12" s="590"/>
      <c r="C12" s="574"/>
      <c r="D12" s="568"/>
      <c r="E12" s="568"/>
      <c r="F12" s="556"/>
    </row>
    <row r="13" spans="2:12">
      <c r="B13" s="590" t="s">
        <v>47</v>
      </c>
      <c r="C13" s="478">
        <f>(2902*6274)/58309</f>
        <v>312.25279116431426</v>
      </c>
      <c r="D13" s="566">
        <v>65600</v>
      </c>
      <c r="E13" s="566">
        <v>900</v>
      </c>
      <c r="F13" s="554">
        <f>(C13*D13*E13)/1000000</f>
        <v>18435.404790341116</v>
      </c>
    </row>
    <row r="14" spans="2:12">
      <c r="B14" s="590"/>
      <c r="C14" s="479"/>
      <c r="D14" s="567"/>
      <c r="E14" s="567"/>
      <c r="F14" s="555"/>
    </row>
    <row r="15" spans="2:12">
      <c r="B15" s="590"/>
      <c r="C15" s="480"/>
      <c r="D15" s="568"/>
      <c r="E15" s="568"/>
      <c r="F15" s="556"/>
    </row>
    <row r="16" spans="2:12">
      <c r="B16" s="578" t="s">
        <v>48</v>
      </c>
      <c r="C16" s="591">
        <f>(139*6274)/58309</f>
        <v>14.956284621585004</v>
      </c>
      <c r="D16" s="566">
        <v>11180</v>
      </c>
      <c r="E16" s="566">
        <v>450</v>
      </c>
      <c r="F16" s="554">
        <f>(C16*D16*E16)/1000000</f>
        <v>75.245067931194157</v>
      </c>
    </row>
    <row r="17" spans="2:12">
      <c r="B17" s="579"/>
      <c r="C17" s="573"/>
      <c r="D17" s="567"/>
      <c r="E17" s="567"/>
      <c r="F17" s="555"/>
    </row>
    <row r="18" spans="2:12">
      <c r="B18" s="580"/>
      <c r="C18" s="574"/>
      <c r="D18" s="568"/>
      <c r="E18" s="568"/>
      <c r="F18" s="556"/>
    </row>
    <row r="19" spans="2:12">
      <c r="B19" s="581" t="s">
        <v>49</v>
      </c>
      <c r="C19" s="572">
        <v>0</v>
      </c>
      <c r="D19" s="566">
        <v>12403</v>
      </c>
      <c r="E19" s="566">
        <v>450</v>
      </c>
      <c r="F19" s="554">
        <f>(C19*D19*E19)/1000000</f>
        <v>0</v>
      </c>
    </row>
    <row r="20" spans="2:12">
      <c r="B20" s="570"/>
      <c r="C20" s="573"/>
      <c r="D20" s="567"/>
      <c r="E20" s="567"/>
      <c r="F20" s="555"/>
    </row>
    <row r="21" spans="2:12">
      <c r="B21" s="571"/>
      <c r="C21" s="574"/>
      <c r="D21" s="568"/>
      <c r="E21" s="568"/>
      <c r="F21" s="556"/>
    </row>
    <row r="22" spans="2:12" ht="15" customHeight="1">
      <c r="B22" s="581" t="s">
        <v>50</v>
      </c>
      <c r="C22" s="572">
        <v>0</v>
      </c>
      <c r="D22" s="566">
        <v>16277</v>
      </c>
      <c r="E22" s="566">
        <v>450</v>
      </c>
      <c r="F22" s="554">
        <f>(C22*D22*E22)/1000000</f>
        <v>0</v>
      </c>
    </row>
    <row r="23" spans="2:12">
      <c r="B23" s="570"/>
      <c r="C23" s="573"/>
      <c r="D23" s="567"/>
      <c r="E23" s="567"/>
      <c r="F23" s="555"/>
    </row>
    <row r="24" spans="2:12">
      <c r="B24" s="571"/>
      <c r="C24" s="574"/>
      <c r="D24" s="568"/>
      <c r="E24" s="568"/>
      <c r="F24" s="556"/>
    </row>
    <row r="25" spans="2:12">
      <c r="B25" s="582" t="s">
        <v>38</v>
      </c>
      <c r="C25" s="572">
        <f>(6961*6274)/58309</f>
        <v>748.99782194858426</v>
      </c>
      <c r="D25" s="566">
        <v>13070</v>
      </c>
      <c r="E25" s="566">
        <v>450</v>
      </c>
      <c r="F25" s="554">
        <f>(C25*D25*E25)/1000000</f>
        <v>4405.2306897905983</v>
      </c>
    </row>
    <row r="26" spans="2:12">
      <c r="B26" s="583"/>
      <c r="C26" s="573"/>
      <c r="D26" s="567"/>
      <c r="E26" s="567"/>
      <c r="F26" s="555"/>
    </row>
    <row r="27" spans="2:12">
      <c r="B27" s="584"/>
      <c r="C27" s="574"/>
      <c r="D27" s="568"/>
      <c r="E27" s="568"/>
      <c r="F27" s="556"/>
    </row>
    <row r="28" spans="2:12">
      <c r="B28" s="585" t="s">
        <v>12</v>
      </c>
      <c r="C28" s="572">
        <f>SUM(C7:C27)</f>
        <v>3002.2320396508258</v>
      </c>
      <c r="D28" s="73"/>
      <c r="E28" s="73"/>
      <c r="F28" s="554">
        <f>26724.76</f>
        <v>26724.76</v>
      </c>
    </row>
    <row r="29" spans="2:12">
      <c r="B29" s="585"/>
      <c r="C29" s="573"/>
      <c r="D29" s="73"/>
      <c r="E29" s="73"/>
      <c r="F29" s="555"/>
    </row>
    <row r="30" spans="2:12" ht="15.75" thickBot="1">
      <c r="B30" s="586"/>
      <c r="C30" s="577"/>
      <c r="D30" s="74"/>
      <c r="E30" s="74"/>
      <c r="F30" s="597"/>
    </row>
    <row r="31" spans="2:12" ht="15.75" thickBot="1"/>
    <row r="32" spans="2:12" ht="19.5" thickBot="1">
      <c r="B32" s="561" t="s">
        <v>154</v>
      </c>
      <c r="C32" s="562"/>
      <c r="D32" s="562"/>
      <c r="E32" s="562"/>
      <c r="F32" s="563"/>
      <c r="G32" s="31"/>
      <c r="H32" s="31"/>
      <c r="I32" s="31"/>
      <c r="J32" s="31"/>
      <c r="K32" s="31"/>
      <c r="L32" s="17"/>
    </row>
    <row r="33" spans="2:8" ht="15" customHeight="1">
      <c r="B33" s="77"/>
      <c r="C33" s="564" t="s">
        <v>43</v>
      </c>
      <c r="D33" s="559" t="s">
        <v>45</v>
      </c>
      <c r="E33" s="559" t="s">
        <v>256</v>
      </c>
      <c r="F33" s="557" t="s">
        <v>19</v>
      </c>
    </row>
    <row r="34" spans="2:8">
      <c r="B34" s="76"/>
      <c r="C34" s="565"/>
      <c r="D34" s="560"/>
      <c r="E34" s="560"/>
      <c r="F34" s="558"/>
    </row>
    <row r="35" spans="2:8">
      <c r="B35" s="594" t="s">
        <v>32</v>
      </c>
      <c r="C35" s="591">
        <f>(1541*6088)/55812</f>
        <v>168.09302658926396</v>
      </c>
      <c r="D35" s="566">
        <v>7000</v>
      </c>
      <c r="E35" s="566">
        <v>155</v>
      </c>
      <c r="F35" s="554">
        <f>(C35*D35*E35)/1000000</f>
        <v>182.38093384935141</v>
      </c>
    </row>
    <row r="36" spans="2:8">
      <c r="B36" s="595"/>
      <c r="C36" s="573"/>
      <c r="D36" s="567"/>
      <c r="E36" s="567"/>
      <c r="F36" s="555"/>
    </row>
    <row r="37" spans="2:8" ht="34.5" customHeight="1">
      <c r="B37" s="596"/>
      <c r="C37" s="574"/>
      <c r="D37" s="568"/>
      <c r="E37" s="568"/>
      <c r="F37" s="556"/>
      <c r="H37" s="253"/>
    </row>
    <row r="38" spans="2:8">
      <c r="B38" s="575" t="s">
        <v>46</v>
      </c>
      <c r="C38" s="591">
        <f>(29008*6088)/55812</f>
        <v>3164.2066939009533</v>
      </c>
      <c r="D38" s="566">
        <v>13076</v>
      </c>
      <c r="E38" s="566">
        <v>155</v>
      </c>
      <c r="F38" s="554">
        <f>(C38*D38*E38)/1000000</f>
        <v>6413.1508430645736</v>
      </c>
    </row>
    <row r="39" spans="2:8">
      <c r="B39" s="575"/>
      <c r="C39" s="573"/>
      <c r="D39" s="567"/>
      <c r="E39" s="567"/>
      <c r="F39" s="555"/>
    </row>
    <row r="40" spans="2:8">
      <c r="B40" s="575"/>
      <c r="C40" s="574"/>
      <c r="D40" s="568"/>
      <c r="E40" s="568"/>
      <c r="F40" s="556"/>
    </row>
    <row r="41" spans="2:8">
      <c r="B41" s="592" t="s">
        <v>47</v>
      </c>
      <c r="C41" s="591">
        <f>(4767*6088)/55812</f>
        <v>519.98666953343366</v>
      </c>
      <c r="D41" s="566">
        <v>65600</v>
      </c>
      <c r="E41" s="566">
        <v>900</v>
      </c>
      <c r="F41" s="554">
        <f>(C41*D41*E41)/1000000</f>
        <v>30700.012969253923</v>
      </c>
    </row>
    <row r="42" spans="2:8">
      <c r="B42" s="592"/>
      <c r="C42" s="573"/>
      <c r="D42" s="567"/>
      <c r="E42" s="567"/>
      <c r="F42" s="555"/>
    </row>
    <row r="43" spans="2:8">
      <c r="B43" s="592"/>
      <c r="C43" s="574"/>
      <c r="D43" s="568"/>
      <c r="E43" s="568"/>
      <c r="F43" s="556"/>
    </row>
    <row r="44" spans="2:8">
      <c r="B44" s="593" t="s">
        <v>48</v>
      </c>
      <c r="C44" s="591">
        <f>(170*6088)/55812</f>
        <v>18.543682362216011</v>
      </c>
      <c r="D44" s="566">
        <v>11180</v>
      </c>
      <c r="E44" s="566">
        <v>450</v>
      </c>
      <c r="F44" s="554">
        <f>(C44*D44*E44)/1000000</f>
        <v>93.293265964308759</v>
      </c>
    </row>
    <row r="45" spans="2:8">
      <c r="B45" s="579"/>
      <c r="C45" s="573"/>
      <c r="D45" s="567"/>
      <c r="E45" s="567"/>
      <c r="F45" s="555"/>
    </row>
    <row r="46" spans="2:8">
      <c r="B46" s="580"/>
      <c r="C46" s="574"/>
      <c r="D46" s="568"/>
      <c r="E46" s="568"/>
      <c r="F46" s="556"/>
    </row>
    <row r="47" spans="2:8">
      <c r="B47" s="569" t="s">
        <v>49</v>
      </c>
      <c r="C47" s="572">
        <f>(267*6088)/55812</f>
        <v>29.124489357127498</v>
      </c>
      <c r="D47" s="566">
        <v>12403</v>
      </c>
      <c r="E47" s="566">
        <v>450</v>
      </c>
      <c r="F47" s="554">
        <f>(C47*D47*E47)/1000000</f>
        <v>162.55396867340357</v>
      </c>
    </row>
    <row r="48" spans="2:8">
      <c r="B48" s="570"/>
      <c r="C48" s="573"/>
      <c r="D48" s="567"/>
      <c r="E48" s="567"/>
      <c r="F48" s="555"/>
    </row>
    <row r="49" spans="2:12">
      <c r="B49" s="571"/>
      <c r="C49" s="574"/>
      <c r="D49" s="568"/>
      <c r="E49" s="568"/>
      <c r="F49" s="556"/>
    </row>
    <row r="50" spans="2:12" ht="15" customHeight="1">
      <c r="B50" s="569" t="s">
        <v>50</v>
      </c>
      <c r="C50" s="572">
        <f>(654*6088)/55812</f>
        <v>71.338636852289824</v>
      </c>
      <c r="D50" s="566">
        <v>13070</v>
      </c>
      <c r="E50" s="566">
        <v>450</v>
      </c>
      <c r="F50" s="554">
        <f>(C50*D50*E50)/1000000</f>
        <v>419.57819264674259</v>
      </c>
    </row>
    <row r="51" spans="2:12">
      <c r="B51" s="570"/>
      <c r="C51" s="573"/>
      <c r="D51" s="567"/>
      <c r="E51" s="567"/>
      <c r="F51" s="555"/>
    </row>
    <row r="52" spans="2:12">
      <c r="B52" s="571"/>
      <c r="C52" s="574"/>
      <c r="D52" s="568"/>
      <c r="E52" s="568"/>
      <c r="F52" s="556"/>
    </row>
    <row r="53" spans="2:12">
      <c r="B53" s="569" t="s">
        <v>38</v>
      </c>
      <c r="C53" s="572">
        <f>(8847*6088)/55812</f>
        <v>965.03504622661796</v>
      </c>
      <c r="D53" s="566">
        <v>13070</v>
      </c>
      <c r="E53" s="566">
        <v>450</v>
      </c>
      <c r="F53" s="554">
        <f>(C53*D53*E53)/1000000</f>
        <v>5675.8536243818535</v>
      </c>
    </row>
    <row r="54" spans="2:12">
      <c r="B54" s="570"/>
      <c r="C54" s="573"/>
      <c r="D54" s="567"/>
      <c r="E54" s="567"/>
      <c r="F54" s="555"/>
    </row>
    <row r="55" spans="2:12">
      <c r="B55" s="571"/>
      <c r="C55" s="574"/>
      <c r="D55" s="568"/>
      <c r="E55" s="568"/>
      <c r="F55" s="556"/>
    </row>
    <row r="56" spans="2:12">
      <c r="B56" s="575" t="s">
        <v>12</v>
      </c>
      <c r="C56" s="572">
        <f>SUM(C35:C55)</f>
        <v>4936.3282448219015</v>
      </c>
      <c r="D56" s="73"/>
      <c r="E56" s="73"/>
      <c r="F56" s="554">
        <f>43646.82</f>
        <v>43646.82</v>
      </c>
    </row>
    <row r="57" spans="2:12">
      <c r="B57" s="575"/>
      <c r="C57" s="573"/>
      <c r="D57" s="73"/>
      <c r="E57" s="73"/>
      <c r="F57" s="555"/>
    </row>
    <row r="58" spans="2:12" ht="15.75" thickBot="1">
      <c r="B58" s="576"/>
      <c r="C58" s="577"/>
      <c r="D58" s="74"/>
      <c r="E58" s="74"/>
      <c r="F58" s="597"/>
    </row>
    <row r="60" spans="2:12">
      <c r="B60" s="600"/>
      <c r="C60" s="600"/>
      <c r="D60" s="600"/>
      <c r="E60" s="600"/>
      <c r="F60" s="600"/>
    </row>
    <row r="61" spans="2:12">
      <c r="B61" s="313"/>
      <c r="C61" s="598"/>
      <c r="D61" s="598"/>
      <c r="E61" s="599"/>
      <c r="F61" s="599"/>
    </row>
    <row r="62" spans="2:12" ht="15.75" thickBot="1">
      <c r="B62" s="313"/>
      <c r="C62" s="598"/>
      <c r="D62" s="598"/>
      <c r="E62" s="599"/>
      <c r="F62" s="599"/>
    </row>
    <row r="63" spans="2:12" ht="19.5" thickBot="1">
      <c r="B63" s="561" t="s">
        <v>209</v>
      </c>
      <c r="C63" s="562"/>
      <c r="D63" s="562"/>
      <c r="E63" s="562"/>
      <c r="F63" s="563"/>
      <c r="G63" s="31"/>
      <c r="H63" s="31"/>
      <c r="I63" s="31"/>
      <c r="J63" s="31"/>
      <c r="K63" s="31"/>
      <c r="L63" s="17"/>
    </row>
    <row r="64" spans="2:12" ht="15" customHeight="1">
      <c r="B64" s="77"/>
      <c r="C64" s="564" t="s">
        <v>43</v>
      </c>
      <c r="D64" s="559" t="s">
        <v>45</v>
      </c>
      <c r="E64" s="559" t="s">
        <v>256</v>
      </c>
      <c r="F64" s="557" t="s">
        <v>19</v>
      </c>
    </row>
    <row r="65" spans="2:6">
      <c r="B65" s="76"/>
      <c r="C65" s="565"/>
      <c r="D65" s="560"/>
      <c r="E65" s="560"/>
      <c r="F65" s="558"/>
    </row>
    <row r="66" spans="2:6">
      <c r="B66" s="594" t="s">
        <v>32</v>
      </c>
      <c r="C66" s="479">
        <f>(C35/Charakterystyka!$P$9)*Charakterystyka!$AD$9</f>
        <v>164.2827707303089</v>
      </c>
      <c r="D66" s="566">
        <v>7000</v>
      </c>
      <c r="E66" s="566">
        <v>155</v>
      </c>
      <c r="F66" s="554">
        <f>(C66*D66*E66)/1000000</f>
        <v>178.24680624238516</v>
      </c>
    </row>
    <row r="67" spans="2:6">
      <c r="B67" s="595"/>
      <c r="C67" s="479"/>
      <c r="D67" s="567"/>
      <c r="E67" s="567"/>
      <c r="F67" s="555"/>
    </row>
    <row r="68" spans="2:6" ht="34.5" customHeight="1">
      <c r="B68" s="596"/>
      <c r="C68" s="480"/>
      <c r="D68" s="568"/>
      <c r="E68" s="568"/>
      <c r="F68" s="556"/>
    </row>
    <row r="69" spans="2:6">
      <c r="B69" s="575" t="s">
        <v>46</v>
      </c>
      <c r="C69" s="479">
        <f>(C38/Charakterystyka!$P$9)*Charakterystyka!$AD$9</f>
        <v>3092.4819035332903</v>
      </c>
      <c r="D69" s="566">
        <v>13076</v>
      </c>
      <c r="E69" s="566">
        <v>155</v>
      </c>
      <c r="F69" s="554">
        <f>(C69*D69*E69)/1000000</f>
        <v>6267.7804724432017</v>
      </c>
    </row>
    <row r="70" spans="2:6">
      <c r="B70" s="575"/>
      <c r="C70" s="479"/>
      <c r="D70" s="567"/>
      <c r="E70" s="567"/>
      <c r="F70" s="555"/>
    </row>
    <row r="71" spans="2:6">
      <c r="B71" s="575"/>
      <c r="C71" s="480"/>
      <c r="D71" s="568"/>
      <c r="E71" s="568"/>
      <c r="F71" s="556"/>
    </row>
    <row r="72" spans="2:6">
      <c r="B72" s="592" t="s">
        <v>47</v>
      </c>
      <c r="C72" s="479">
        <f>(C41/Charakterystyka!$P$9)*Charakterystyka!$AD$9</f>
        <v>508.19984949473229</v>
      </c>
      <c r="D72" s="566">
        <v>65600</v>
      </c>
      <c r="E72" s="566">
        <v>900</v>
      </c>
      <c r="F72" s="554">
        <f>(C72*D72*E72)/1000000</f>
        <v>30004.119114168996</v>
      </c>
    </row>
    <row r="73" spans="2:6">
      <c r="B73" s="592"/>
      <c r="C73" s="479"/>
      <c r="D73" s="567"/>
      <c r="E73" s="567"/>
      <c r="F73" s="555"/>
    </row>
    <row r="74" spans="2:6">
      <c r="B74" s="592"/>
      <c r="C74" s="480"/>
      <c r="D74" s="568"/>
      <c r="E74" s="568"/>
      <c r="F74" s="556"/>
    </row>
    <row r="75" spans="2:6" ht="15" customHeight="1">
      <c r="B75" s="593" t="s">
        <v>48</v>
      </c>
      <c r="C75" s="479">
        <f>(C44/Charakterystyka!$P$9)*Charakterystyka!$AD$9</f>
        <v>18.123342650326094</v>
      </c>
      <c r="D75" s="566">
        <v>11180</v>
      </c>
      <c r="E75" s="566">
        <v>450</v>
      </c>
      <c r="F75" s="554">
        <f>(C75*D75*E75)/1000000</f>
        <v>91.178536873790577</v>
      </c>
    </row>
    <row r="76" spans="2:6">
      <c r="B76" s="579"/>
      <c r="C76" s="479"/>
      <c r="D76" s="567"/>
      <c r="E76" s="567"/>
      <c r="F76" s="555"/>
    </row>
    <row r="77" spans="2:6">
      <c r="B77" s="580"/>
      <c r="C77" s="480"/>
      <c r="D77" s="568"/>
      <c r="E77" s="568"/>
      <c r="F77" s="556"/>
    </row>
    <row r="78" spans="2:6" ht="15" customHeight="1">
      <c r="B78" s="569" t="s">
        <v>49</v>
      </c>
      <c r="C78" s="573">
        <f>(C47/Charakterystyka!$P$9)*Charakterystyka!$AD$9</f>
        <v>28.464308750806278</v>
      </c>
      <c r="D78" s="566">
        <v>12403</v>
      </c>
      <c r="E78" s="566">
        <v>450</v>
      </c>
      <c r="F78" s="554">
        <f>(C78*D78*E78)/1000000</f>
        <v>158.86926964631263</v>
      </c>
    </row>
    <row r="79" spans="2:6">
      <c r="B79" s="570"/>
      <c r="C79" s="573"/>
      <c r="D79" s="567"/>
      <c r="E79" s="567"/>
      <c r="F79" s="555"/>
    </row>
    <row r="80" spans="2:6">
      <c r="B80" s="571"/>
      <c r="C80" s="574"/>
      <c r="D80" s="568"/>
      <c r="E80" s="568"/>
      <c r="F80" s="556"/>
    </row>
    <row r="81" spans="2:6" ht="15" customHeight="1">
      <c r="B81" s="569" t="s">
        <v>50</v>
      </c>
      <c r="C81" s="573">
        <f>(C50/Charakterystyka!$P$9)*Charakterystyka!$AD$9</f>
        <v>69.721565254783911</v>
      </c>
      <c r="D81" s="566">
        <v>13070</v>
      </c>
      <c r="E81" s="566">
        <v>450</v>
      </c>
      <c r="F81" s="554">
        <f>(C81*D81*E81)/1000000</f>
        <v>410.06738604601156</v>
      </c>
    </row>
    <row r="82" spans="2:6">
      <c r="B82" s="570"/>
      <c r="C82" s="573"/>
      <c r="D82" s="567"/>
      <c r="E82" s="567"/>
      <c r="F82" s="555"/>
    </row>
    <row r="83" spans="2:6">
      <c r="B83" s="571"/>
      <c r="C83" s="574"/>
      <c r="D83" s="568"/>
      <c r="E83" s="568"/>
      <c r="F83" s="556"/>
    </row>
    <row r="84" spans="2:6">
      <c r="B84" s="569" t="s">
        <v>38</v>
      </c>
      <c r="C84" s="573">
        <f>(C53/Charakterystyka!$P$9)*Charakterystyka!$AD$9</f>
        <v>943.16007310255861</v>
      </c>
      <c r="D84" s="566">
        <v>13070</v>
      </c>
      <c r="E84" s="566">
        <v>450</v>
      </c>
      <c r="F84" s="554">
        <f>(C84*D84*E84)/1000000</f>
        <v>5547.1959699526988</v>
      </c>
    </row>
    <row r="85" spans="2:6">
      <c r="B85" s="570"/>
      <c r="C85" s="573"/>
      <c r="D85" s="567"/>
      <c r="E85" s="567"/>
      <c r="F85" s="555"/>
    </row>
    <row r="86" spans="2:6">
      <c r="B86" s="571"/>
      <c r="C86" s="574"/>
      <c r="D86" s="568"/>
      <c r="E86" s="568"/>
      <c r="F86" s="556"/>
    </row>
    <row r="87" spans="2:6">
      <c r="B87" s="575" t="s">
        <v>12</v>
      </c>
      <c r="C87" s="572">
        <f>SUM(C66:C86)</f>
        <v>4824.4338135168064</v>
      </c>
      <c r="D87" s="73"/>
      <c r="E87" s="73"/>
      <c r="F87" s="554">
        <f>42657.46</f>
        <v>42657.46</v>
      </c>
    </row>
    <row r="88" spans="2:6">
      <c r="B88" s="575"/>
      <c r="C88" s="573"/>
      <c r="D88" s="73"/>
      <c r="E88" s="73"/>
      <c r="F88" s="555"/>
    </row>
    <row r="89" spans="2:6" ht="15.75" thickBot="1">
      <c r="B89" s="576"/>
      <c r="C89" s="577"/>
      <c r="D89" s="74"/>
      <c r="E89" s="74"/>
      <c r="F89" s="597"/>
    </row>
  </sheetData>
  <mergeCells count="128">
    <mergeCell ref="B72:B74"/>
    <mergeCell ref="B75:B77"/>
    <mergeCell ref="C5:C6"/>
    <mergeCell ref="B87:B89"/>
    <mergeCell ref="C87:C89"/>
    <mergeCell ref="B78:B80"/>
    <mergeCell ref="C78:C80"/>
    <mergeCell ref="B81:B83"/>
    <mergeCell ref="C81:C83"/>
    <mergeCell ref="B84:B86"/>
    <mergeCell ref="C84:C86"/>
    <mergeCell ref="B47:B49"/>
    <mergeCell ref="B7:B9"/>
    <mergeCell ref="B10:B12"/>
    <mergeCell ref="C16:C18"/>
    <mergeCell ref="D81:D83"/>
    <mergeCell ref="D72:D74"/>
    <mergeCell ref="E72:E74"/>
    <mergeCell ref="D75:D77"/>
    <mergeCell ref="E75:E77"/>
    <mergeCell ref="F28:F30"/>
    <mergeCell ref="F56:F58"/>
    <mergeCell ref="F87:F89"/>
    <mergeCell ref="D78:D80"/>
    <mergeCell ref="E78:E80"/>
    <mergeCell ref="E81:E83"/>
    <mergeCell ref="D84:D86"/>
    <mergeCell ref="E84:E86"/>
    <mergeCell ref="C61:D62"/>
    <mergeCell ref="E61:E62"/>
    <mergeCell ref="F61:F62"/>
    <mergeCell ref="C47:C49"/>
    <mergeCell ref="B60:F60"/>
    <mergeCell ref="D47:D49"/>
    <mergeCell ref="E47:E49"/>
    <mergeCell ref="B66:B68"/>
    <mergeCell ref="B69:B71"/>
    <mergeCell ref="D69:D71"/>
    <mergeCell ref="E69:E71"/>
    <mergeCell ref="D22:D24"/>
    <mergeCell ref="D25:D27"/>
    <mergeCell ref="E19:E21"/>
    <mergeCell ref="E22:E24"/>
    <mergeCell ref="E25:E27"/>
    <mergeCell ref="B41:B43"/>
    <mergeCell ref="B44:B46"/>
    <mergeCell ref="B35:B37"/>
    <mergeCell ref="B38:B40"/>
    <mergeCell ref="E33:E34"/>
    <mergeCell ref="D41:D43"/>
    <mergeCell ref="E41:E43"/>
    <mergeCell ref="D44:D46"/>
    <mergeCell ref="E44:E46"/>
    <mergeCell ref="C35:C37"/>
    <mergeCell ref="C38:C40"/>
    <mergeCell ref="C41:C43"/>
    <mergeCell ref="C44:C46"/>
    <mergeCell ref="B4:F4"/>
    <mergeCell ref="D5:D6"/>
    <mergeCell ref="E5:E6"/>
    <mergeCell ref="B13:B15"/>
    <mergeCell ref="F5:F6"/>
    <mergeCell ref="D7:D9"/>
    <mergeCell ref="D10:D12"/>
    <mergeCell ref="D13:D15"/>
    <mergeCell ref="E7:E9"/>
    <mergeCell ref="E10:E12"/>
    <mergeCell ref="E13:E15"/>
    <mergeCell ref="F7:F9"/>
    <mergeCell ref="F10:F12"/>
    <mergeCell ref="F13:F15"/>
    <mergeCell ref="C7:C9"/>
    <mergeCell ref="C10:C12"/>
    <mergeCell ref="F33:F34"/>
    <mergeCell ref="D35:D37"/>
    <mergeCell ref="E35:E37"/>
    <mergeCell ref="D38:D40"/>
    <mergeCell ref="E38:E40"/>
    <mergeCell ref="B16:B18"/>
    <mergeCell ref="D16:D18"/>
    <mergeCell ref="E16:E18"/>
    <mergeCell ref="B32:F32"/>
    <mergeCell ref="B22:B24"/>
    <mergeCell ref="C22:C24"/>
    <mergeCell ref="B25:B27"/>
    <mergeCell ref="C25:C27"/>
    <mergeCell ref="B28:B30"/>
    <mergeCell ref="C28:C30"/>
    <mergeCell ref="B19:B21"/>
    <mergeCell ref="C19:C21"/>
    <mergeCell ref="C33:C34"/>
    <mergeCell ref="D33:D34"/>
    <mergeCell ref="F16:F18"/>
    <mergeCell ref="F19:F21"/>
    <mergeCell ref="F22:F24"/>
    <mergeCell ref="F25:F27"/>
    <mergeCell ref="D19:D21"/>
    <mergeCell ref="E64:E65"/>
    <mergeCell ref="B63:F63"/>
    <mergeCell ref="C64:C65"/>
    <mergeCell ref="D64:D65"/>
    <mergeCell ref="D66:D68"/>
    <mergeCell ref="E66:E68"/>
    <mergeCell ref="D50:D52"/>
    <mergeCell ref="E50:E52"/>
    <mergeCell ref="D53:D55"/>
    <mergeCell ref="E53:E55"/>
    <mergeCell ref="B50:B52"/>
    <mergeCell ref="C50:C52"/>
    <mergeCell ref="B53:B55"/>
    <mergeCell ref="C53:C55"/>
    <mergeCell ref="B56:B58"/>
    <mergeCell ref="C56:C58"/>
    <mergeCell ref="F72:F74"/>
    <mergeCell ref="F75:F77"/>
    <mergeCell ref="F78:F80"/>
    <mergeCell ref="F81:F83"/>
    <mergeCell ref="F84:F86"/>
    <mergeCell ref="F35:F37"/>
    <mergeCell ref="F38:F40"/>
    <mergeCell ref="F41:F43"/>
    <mergeCell ref="F44:F46"/>
    <mergeCell ref="F47:F49"/>
    <mergeCell ref="F50:F52"/>
    <mergeCell ref="F53:F55"/>
    <mergeCell ref="F66:F68"/>
    <mergeCell ref="F69:F71"/>
    <mergeCell ref="F64:F6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2" manualBreakCount="2">
    <brk id="31" max="11" man="1"/>
    <brk id="6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showGridLines="0" view="pageBreakPreview" topLeftCell="E10" zoomScale="86" zoomScaleNormal="80" zoomScaleSheetLayoutView="86" workbookViewId="0">
      <selection activeCell="H61" sqref="H61"/>
    </sheetView>
  </sheetViews>
  <sheetFormatPr defaultRowHeight="15"/>
  <cols>
    <col min="1" max="1" width="2.5" style="59" customWidth="1"/>
    <col min="2" max="2" width="13.375" style="59" customWidth="1"/>
    <col min="3" max="5" width="13.875" style="59" customWidth="1"/>
    <col min="6" max="6" width="13" style="59" customWidth="1"/>
    <col min="7" max="7" width="13.75" style="59" customWidth="1"/>
    <col min="8" max="8" width="12.625" style="59" customWidth="1"/>
    <col min="9" max="9" width="11.5" style="59" customWidth="1"/>
    <col min="10" max="10" width="14.875" style="59" customWidth="1"/>
    <col min="11" max="11" width="15" style="59" customWidth="1"/>
    <col min="12" max="12" width="15.125" style="59" customWidth="1"/>
    <col min="13" max="13" width="3.75" style="59" customWidth="1"/>
    <col min="14" max="14" width="15.5" style="59" customWidth="1"/>
    <col min="15" max="15" width="14.625" style="59" customWidth="1"/>
    <col min="16" max="16" width="15.375" style="59" customWidth="1"/>
    <col min="17" max="17" width="14.75" style="59" customWidth="1"/>
    <col min="18" max="18" width="9.875" style="59" bestFit="1" customWidth="1"/>
    <col min="19" max="19" width="9" style="59" customWidth="1"/>
    <col min="20" max="16384" width="9" style="59"/>
  </cols>
  <sheetData>
    <row r="1" spans="2:18" s="55" customFormat="1" ht="15.75" thickBot="1">
      <c r="P1" s="243"/>
      <c r="Q1" s="243"/>
      <c r="R1" s="243"/>
    </row>
    <row r="2" spans="2:18" s="58" customFormat="1" ht="19.5" thickBot="1">
      <c r="B2" s="56" t="s">
        <v>41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244"/>
      <c r="Q2" s="244"/>
      <c r="R2" s="245"/>
    </row>
    <row r="3" spans="2:18" ht="15.75" thickBot="1">
      <c r="O3" s="60">
        <v>2000</v>
      </c>
      <c r="P3" s="246"/>
      <c r="Q3" s="246"/>
      <c r="R3" s="220"/>
    </row>
    <row r="4" spans="2:18" ht="49.5" customHeight="1" thickBot="1">
      <c r="C4" s="268">
        <v>62</v>
      </c>
      <c r="D4" s="267" t="s">
        <v>140</v>
      </c>
      <c r="E4" s="267" t="s">
        <v>155</v>
      </c>
      <c r="F4" s="267" t="s">
        <v>156</v>
      </c>
      <c r="G4" s="267" t="s">
        <v>207</v>
      </c>
      <c r="H4" s="267" t="s">
        <v>29</v>
      </c>
      <c r="I4" s="267" t="s">
        <v>30</v>
      </c>
      <c r="J4" s="191" t="s">
        <v>142</v>
      </c>
      <c r="K4" s="191" t="s">
        <v>157</v>
      </c>
      <c r="L4" s="192" t="s">
        <v>143</v>
      </c>
      <c r="P4" s="220"/>
      <c r="Q4" s="220"/>
      <c r="R4" s="220"/>
    </row>
    <row r="5" spans="2:18">
      <c r="B5" s="622" t="s">
        <v>31</v>
      </c>
      <c r="C5" s="623"/>
      <c r="D5" s="224">
        <f>INT(E5/1.29/1.16)</f>
        <v>2691</v>
      </c>
      <c r="E5" s="224">
        <v>4027</v>
      </c>
      <c r="F5" s="230">
        <f>INT(E5*((1+(0.9*3.3)/100))*((1+(0.9*2.1)/100)))</f>
        <v>4224</v>
      </c>
      <c r="G5" s="234">
        <f>INT(F5*((1+(0.9*2.8)/100))*((1+(0.9*3)/100))*((1+(0.9*3.1)/100))*((1+(0.8*3)/100))*((1+(0.8*3.1)/100))*((1+(0.8*3)/100))*((1+(0.8*2.7)/100))*((1+(0.8*2.7)/100)))</f>
        <v>5126</v>
      </c>
      <c r="H5" s="66">
        <v>155</v>
      </c>
      <c r="I5" s="61">
        <v>6.06</v>
      </c>
      <c r="J5" s="257">
        <f t="shared" ref="J5:J11" si="0">(D5*H5*I5*365)/1000000</f>
        <v>922.59454949999986</v>
      </c>
      <c r="K5" s="257">
        <f>(F5*H5*I5*365)/1000000</f>
        <v>1448.175168</v>
      </c>
      <c r="L5" s="258">
        <f>(G5*H5*I5*365)/1000000</f>
        <v>1757.4209069999999</v>
      </c>
    </row>
    <row r="6" spans="2:18">
      <c r="B6" s="618" t="s">
        <v>32</v>
      </c>
      <c r="C6" s="619"/>
      <c r="D6" s="228">
        <f>INT(E6/1.29/16)</f>
        <v>1</v>
      </c>
      <c r="E6" s="225">
        <v>31</v>
      </c>
      <c r="F6" s="231">
        <f>INT(E6*((1+(0.9*3.3)/100))*((1+(0.9*2.1)/100)))</f>
        <v>32</v>
      </c>
      <c r="G6" s="235">
        <f>INT(F6*((1+(0.9*2.8)/100))*((1+(0.9*3)/100))*((1+(0.9*3.1)/100))*((1+(0.8*3)/100))*((1+(0.8*3.1)/100))*((1+(0.8*3)/100))*((1+(0.8*2.7)/100))*((1+(0.8*2.7)/100)))</f>
        <v>38</v>
      </c>
      <c r="H6" s="67">
        <v>155</v>
      </c>
      <c r="I6" s="62">
        <f>I5</f>
        <v>6.06</v>
      </c>
      <c r="J6" s="259">
        <f t="shared" si="0"/>
        <v>0.3428445</v>
      </c>
      <c r="K6" s="259">
        <f t="shared" ref="K6:K11" si="1">(F6*H6*I6*365)/1000000</f>
        <v>10.971024</v>
      </c>
      <c r="L6" s="260">
        <f t="shared" ref="L6:L11" si="2">(G6*H6*I6*365)/1000000</f>
        <v>13.028090999999998</v>
      </c>
    </row>
    <row r="7" spans="2:18" ht="30" customHeight="1">
      <c r="B7" s="618" t="s">
        <v>33</v>
      </c>
      <c r="C7" s="619"/>
      <c r="D7" s="228">
        <f>INT(E7/1.29/1.16)</f>
        <v>279</v>
      </c>
      <c r="E7" s="225">
        <v>418</v>
      </c>
      <c r="F7" s="232">
        <f>INT(E7*((1+(0.33*3.3)/100))*((1+(0.33*2.1)/100)))</f>
        <v>425</v>
      </c>
      <c r="G7" s="236">
        <f>INT(F7*((1+(0.33*2.8)/100))*((1+(0.33*3)/100))*((1+(0.33*3.1)/100))*((1+(0.33*3)/100))*((1+(0.33*3.1)/100))*((1+(0.33*3)/100))*((1+(0.33*2.7)/100))*((1+(0.33*2.7)/100)))</f>
        <v>458</v>
      </c>
      <c r="H7" s="68">
        <v>450</v>
      </c>
      <c r="I7" s="63">
        <f>I5</f>
        <v>6.06</v>
      </c>
      <c r="J7" s="261">
        <f t="shared" si="0"/>
        <v>277.70404500000001</v>
      </c>
      <c r="K7" s="261">
        <f t="shared" si="1"/>
        <v>423.02587499999998</v>
      </c>
      <c r="L7" s="262">
        <f t="shared" si="2"/>
        <v>455.87259</v>
      </c>
    </row>
    <row r="8" spans="2:18" ht="15" customHeight="1">
      <c r="B8" s="618" t="s">
        <v>34</v>
      </c>
      <c r="C8" s="65" t="s">
        <v>35</v>
      </c>
      <c r="D8" s="228">
        <f>INT(E8/1.29/1.16)</f>
        <v>90</v>
      </c>
      <c r="E8" s="225">
        <v>135</v>
      </c>
      <c r="F8" s="231">
        <f>INT(E8*((1+(0.35*3.3)/100))*((1+(0.35*2.1)/100)))</f>
        <v>137</v>
      </c>
      <c r="G8" s="235">
        <f>INT(F8*((1+(0.35*2.8)/100))*((1+(0.35*3)/100))*((1+(0.35*3.1)/100))*((1+(0.35*3)/100))*((1+(0.35*3.1)/100))*((1+(0.35*3)/100))*((1+(0.35*2.7)/100))*((1+(0.35*2.7)/100)))</f>
        <v>148</v>
      </c>
      <c r="H8" s="67">
        <v>450</v>
      </c>
      <c r="I8" s="62">
        <f>I5</f>
        <v>6.06</v>
      </c>
      <c r="J8" s="259">
        <f t="shared" si="0"/>
        <v>89.581949999999992</v>
      </c>
      <c r="K8" s="259">
        <f t="shared" si="1"/>
        <v>136.36363499999999</v>
      </c>
      <c r="L8" s="260">
        <f t="shared" si="2"/>
        <v>147.31254000000001</v>
      </c>
    </row>
    <row r="9" spans="2:18">
      <c r="B9" s="618"/>
      <c r="C9" s="65" t="s">
        <v>36</v>
      </c>
      <c r="D9" s="228">
        <f>INT(E9/1.29/1.16)</f>
        <v>51</v>
      </c>
      <c r="E9" s="225">
        <v>77</v>
      </c>
      <c r="F9" s="231">
        <f>INT(E9*((1+(1.07*3.3)/100))*((1+(1.07*2.1)/100)))</f>
        <v>81</v>
      </c>
      <c r="G9" s="235">
        <f>INT(F9*((1+(1.07*2.8)/100))*((1+(1.07*3)/100))*((1+(1.07*3.1)/100))*((1+(1*3)/100))*((1+(1*3.1)/100))*((1+(1*3)/100))*((1+(1*2.7)/100))*((1+(1*2.7)/100)))</f>
        <v>102</v>
      </c>
      <c r="H9" s="67">
        <v>900</v>
      </c>
      <c r="I9" s="62">
        <f>I5</f>
        <v>6.06</v>
      </c>
      <c r="J9" s="259">
        <f t="shared" si="0"/>
        <v>101.52621000000001</v>
      </c>
      <c r="K9" s="259">
        <f t="shared" si="1"/>
        <v>161.24751000000001</v>
      </c>
      <c r="L9" s="260">
        <f t="shared" si="2"/>
        <v>203.05242000000001</v>
      </c>
    </row>
    <row r="10" spans="2:18">
      <c r="B10" s="618" t="s">
        <v>37</v>
      </c>
      <c r="C10" s="619"/>
      <c r="D10" s="228">
        <f>INT(E10/1.29/1.16)</f>
        <v>30</v>
      </c>
      <c r="E10" s="225">
        <v>45</v>
      </c>
      <c r="F10" s="231">
        <f>INT(E10*((1+(1.07*3.3)/100))*((1+(1.07*2.1)/100)))</f>
        <v>47</v>
      </c>
      <c r="G10" s="235">
        <f>INT(F10*((1+(1.07*2.8)/100))*((1+(1.07*3)/100))*((1+(1.07*3.1)/100))*((1+(1*3)/100))*((1+(1*3.1)/100))*((1+(1*3)/100))*((1+(1*2.7)/100))*((1+(1*2.7)/100)))</f>
        <v>59</v>
      </c>
      <c r="H10" s="67">
        <v>450</v>
      </c>
      <c r="I10" s="62">
        <f>I5</f>
        <v>6.06</v>
      </c>
      <c r="J10" s="259">
        <f t="shared" si="0"/>
        <v>29.86065</v>
      </c>
      <c r="K10" s="259">
        <f t="shared" si="1"/>
        <v>46.781684999999996</v>
      </c>
      <c r="L10" s="260">
        <f t="shared" si="2"/>
        <v>58.725945000000003</v>
      </c>
    </row>
    <row r="11" spans="2:18" ht="15.75" customHeight="1" thickBot="1">
      <c r="B11" s="620" t="s">
        <v>38</v>
      </c>
      <c r="C11" s="621"/>
      <c r="D11" s="229">
        <f>INT(E11/1.29/1.16)</f>
        <v>20</v>
      </c>
      <c r="E11" s="226">
        <v>30</v>
      </c>
      <c r="F11" s="233">
        <f>INT(E11*((1+(1.07*3.3)/100))*((1+(1.7*2.1)/100)))</f>
        <v>32</v>
      </c>
      <c r="G11" s="237">
        <f>INT(F11*((1+(1.07*2.8)/100))*((1+(1.07*3)/100))*((1+(1.07*3.1)/100))*((1+(1*3)/100))*((1+(1*3.1)/100))*((1+(1*3)/100))*((1+(1*2.7)/100))*((1+(1*2.7)/100)))</f>
        <v>40</v>
      </c>
      <c r="H11" s="69">
        <v>450</v>
      </c>
      <c r="I11" s="64">
        <f>I5</f>
        <v>6.06</v>
      </c>
      <c r="J11" s="263">
        <f t="shared" si="0"/>
        <v>19.9071</v>
      </c>
      <c r="K11" s="263">
        <f t="shared" si="1"/>
        <v>31.85136</v>
      </c>
      <c r="L11" s="264">
        <f t="shared" si="2"/>
        <v>39.8142</v>
      </c>
    </row>
    <row r="12" spans="2:18" ht="15.75" customHeight="1" thickBot="1">
      <c r="D12" s="227">
        <f>SUM(D5:D11)</f>
        <v>3162</v>
      </c>
      <c r="E12" s="227">
        <f>SUM(E5:E11)</f>
        <v>4763</v>
      </c>
      <c r="F12" s="227">
        <f>SUM(F5:F11)</f>
        <v>4978</v>
      </c>
      <c r="G12" s="238">
        <f>SUM(G5:G11)</f>
        <v>5971</v>
      </c>
      <c r="J12" s="265">
        <f>SUM(J5:J11)</f>
        <v>1441.5173489999997</v>
      </c>
      <c r="K12" s="265">
        <f>SUM(K5:K11)</f>
        <v>2258.4162569999999</v>
      </c>
      <c r="L12" s="266">
        <f>SUM(L5:L11)</f>
        <v>2675.2266929999996</v>
      </c>
    </row>
    <row r="13" spans="2:18" ht="15.75" thickBot="1"/>
    <row r="14" spans="2:18" ht="48.75" thickBot="1">
      <c r="C14" s="346">
        <v>63</v>
      </c>
      <c r="D14" s="345" t="s">
        <v>140</v>
      </c>
      <c r="E14" s="267" t="s">
        <v>155</v>
      </c>
      <c r="F14" s="267" t="s">
        <v>156</v>
      </c>
      <c r="G14" s="267" t="s">
        <v>208</v>
      </c>
      <c r="H14" s="267" t="s">
        <v>29</v>
      </c>
      <c r="I14" s="343" t="s">
        <v>30</v>
      </c>
      <c r="J14" s="191" t="s">
        <v>142</v>
      </c>
      <c r="K14" s="191" t="s">
        <v>157</v>
      </c>
      <c r="L14" s="192" t="s">
        <v>143</v>
      </c>
    </row>
    <row r="15" spans="2:18">
      <c r="B15" s="622" t="s">
        <v>31</v>
      </c>
      <c r="C15" s="623"/>
      <c r="D15" s="224">
        <f>INT(E15/1.29/1.16)</f>
        <v>2867</v>
      </c>
      <c r="E15" s="224">
        <v>4291</v>
      </c>
      <c r="F15" s="230">
        <f>INT(E15*((1+(0.9*3.3)/100))*((1+(0.9*2.1)/100)))</f>
        <v>4501</v>
      </c>
      <c r="G15" s="234">
        <f>INT(F15*((1+(0.9*2.8)/100))*((1+(0.9*3)/100))*((1+(0.9*3.1)/100))*((1+(0.8*3)/100))*((1+(0.8*3.1)/100))*((1+(0.8*3)/100))*((1+(0.8*2.7)/100))*((1+(0.8*2.7)/100)))</f>
        <v>5463</v>
      </c>
      <c r="H15" s="66">
        <v>155</v>
      </c>
      <c r="I15" s="342">
        <v>9.7840000000000007</v>
      </c>
      <c r="J15" s="257">
        <f t="shared" ref="J15:J21" si="3">(D15*H15*I15*365)/1000000</f>
        <v>1586.9699366</v>
      </c>
      <c r="K15" s="257">
        <f>(F15*H15*I15*365)/1000000</f>
        <v>2491.4376298000002</v>
      </c>
      <c r="L15" s="258">
        <f>(G15*H15*I15*365)/1000000</f>
        <v>3023.9332973999999</v>
      </c>
    </row>
    <row r="16" spans="2:18">
      <c r="B16" s="618" t="s">
        <v>32</v>
      </c>
      <c r="C16" s="619"/>
      <c r="D16" s="228">
        <f>INT(E16/1.29/16)</f>
        <v>2</v>
      </c>
      <c r="E16" s="225">
        <v>44</v>
      </c>
      <c r="F16" s="231">
        <f>INT(E16*((1+(0.9*3.3)/100))*((1+(0.9*2.1)/100)))</f>
        <v>46</v>
      </c>
      <c r="G16" s="235">
        <f>INT(F16*((1+(0.9*2.8)/100))*((1+(0.9*3)/100))*((1+(0.9*3.1)/100))*((1+(0.8*3)/100))*((1+(0.8*3.1)/100))*((1+(0.8*3)/100))*((1+(0.8*2.7)/100))*((1+(0.8*2.7)/100)))</f>
        <v>55</v>
      </c>
      <c r="H16" s="67">
        <v>155</v>
      </c>
      <c r="I16" s="62">
        <f>I15</f>
        <v>9.7840000000000007</v>
      </c>
      <c r="J16" s="259">
        <f t="shared" si="3"/>
        <v>1.1070596000000001</v>
      </c>
      <c r="K16" s="259">
        <f t="shared" ref="K16:K21" si="4">(F16*H16*I16*365)/1000000</f>
        <v>25.462370800000002</v>
      </c>
      <c r="L16" s="260">
        <f t="shared" ref="L16:L21" si="5">(G16*H16*I16*365)/1000000</f>
        <v>30.444139000000003</v>
      </c>
    </row>
    <row r="17" spans="2:12">
      <c r="B17" s="618" t="s">
        <v>33</v>
      </c>
      <c r="C17" s="619"/>
      <c r="D17" s="228">
        <f>INT(E17/1.29/1.16)</f>
        <v>334</v>
      </c>
      <c r="E17" s="225">
        <v>500</v>
      </c>
      <c r="F17" s="232">
        <f>INT(E17*((1+(0.33*3.3)/100))*((1+(0.33*2.1)/100)))</f>
        <v>508</v>
      </c>
      <c r="G17" s="236">
        <f>INT(F17*((1+(0.33*2.8)/100))*((1+(0.33*3)/100))*((1+(0.33*3.1)/100))*((1+(0.33*3)/100))*((1+(0.33*3.1)/100))*((1+(0.33*3)/100))*((1+(0.33*2.7)/100))*((1+(0.33*2.7)/100)))</f>
        <v>548</v>
      </c>
      <c r="H17" s="68">
        <v>450</v>
      </c>
      <c r="I17" s="63">
        <f>I15</f>
        <v>9.7840000000000007</v>
      </c>
      <c r="J17" s="261">
        <f t="shared" si="3"/>
        <v>536.74534800000004</v>
      </c>
      <c r="K17" s="261">
        <f t="shared" si="4"/>
        <v>816.36717600000009</v>
      </c>
      <c r="L17" s="262">
        <f t="shared" si="5"/>
        <v>880.64805600000011</v>
      </c>
    </row>
    <row r="18" spans="2:12">
      <c r="B18" s="618" t="s">
        <v>34</v>
      </c>
      <c r="C18" s="65" t="s">
        <v>35</v>
      </c>
      <c r="D18" s="228">
        <f>INT(E18/1.29/1.16)</f>
        <v>177</v>
      </c>
      <c r="E18" s="225">
        <v>265</v>
      </c>
      <c r="F18" s="231">
        <f>INT(E18*((1+(0.35*3.3)/100))*((1+(0.35*2.1)/100)))</f>
        <v>270</v>
      </c>
      <c r="G18" s="235">
        <f>INT(F18*((1+(0.35*2.8)/100))*((1+(0.35*3)/100))*((1+(0.35*3.1)/100))*((1+(0.35*3)/100))*((1+(0.35*3.1)/100))*((1+(0.35*3)/100))*((1+(0.35*2.7)/100))*((1+(0.35*2.7)/100)))</f>
        <v>292</v>
      </c>
      <c r="H18" s="67">
        <v>450</v>
      </c>
      <c r="I18" s="62">
        <f>I15</f>
        <v>9.7840000000000007</v>
      </c>
      <c r="J18" s="259">
        <f t="shared" si="3"/>
        <v>284.44289400000008</v>
      </c>
      <c r="K18" s="259">
        <f t="shared" si="4"/>
        <v>433.89594</v>
      </c>
      <c r="L18" s="260">
        <f t="shared" si="5"/>
        <v>469.25042400000007</v>
      </c>
    </row>
    <row r="19" spans="2:12">
      <c r="B19" s="618"/>
      <c r="C19" s="65" t="s">
        <v>36</v>
      </c>
      <c r="D19" s="228">
        <f>INT(E19/1.29/1.16)</f>
        <v>302</v>
      </c>
      <c r="E19" s="225">
        <v>453</v>
      </c>
      <c r="F19" s="231">
        <f>INT(E19*((1+(1.07*3.3)/100))*((1+(1.07*2.1)/100)))</f>
        <v>479</v>
      </c>
      <c r="G19" s="235">
        <f>INT(F19*((1+(1.07*2.8)/100))*((1+(1.07*3)/100))*((1+(1.07*3.1)/100))*((1+(1*3)/100))*((1+(1*3.1)/100))*((1+(1*3)/100))*((1+(1*2.7)/100))*((1+(1*2.7)/100)))</f>
        <v>606</v>
      </c>
      <c r="H19" s="67">
        <v>900</v>
      </c>
      <c r="I19" s="62">
        <f>I15</f>
        <v>9.7840000000000007</v>
      </c>
      <c r="J19" s="259">
        <f t="shared" si="3"/>
        <v>970.64128800000015</v>
      </c>
      <c r="K19" s="259">
        <f t="shared" si="4"/>
        <v>1539.5270760000003</v>
      </c>
      <c r="L19" s="260">
        <f t="shared" si="5"/>
        <v>1947.7106640000002</v>
      </c>
    </row>
    <row r="20" spans="2:12">
      <c r="B20" s="618" t="s">
        <v>37</v>
      </c>
      <c r="C20" s="619"/>
      <c r="D20" s="228">
        <f>INT(E20/1.29/1.16)</f>
        <v>34</v>
      </c>
      <c r="E20" s="225">
        <v>51</v>
      </c>
      <c r="F20" s="231">
        <f>INT(E20*((1+(1.07*3.3)/100))*((1+(1.07*2.1)/100)))</f>
        <v>53</v>
      </c>
      <c r="G20" s="235">
        <f>INT(F20*((1+(1.07*2.8)/100))*((1+(1.07*3)/100))*((1+(1.07*3.1)/100))*((1+(1*3)/100))*((1+(1*3.1)/100))*((1+(1*3)/100))*((1+(1*2.7)/100))*((1+(1*2.7)/100)))</f>
        <v>67</v>
      </c>
      <c r="H20" s="67">
        <v>450</v>
      </c>
      <c r="I20" s="62">
        <f>I15</f>
        <v>9.7840000000000007</v>
      </c>
      <c r="J20" s="259">
        <f t="shared" si="3"/>
        <v>54.638748000000007</v>
      </c>
      <c r="K20" s="259">
        <f t="shared" si="4"/>
        <v>85.172166000000018</v>
      </c>
      <c r="L20" s="260">
        <f t="shared" si="5"/>
        <v>107.67047400000001</v>
      </c>
    </row>
    <row r="21" spans="2:12" ht="15.75" thickBot="1">
      <c r="B21" s="620" t="s">
        <v>38</v>
      </c>
      <c r="C21" s="621"/>
      <c r="D21" s="229">
        <f>INT(E21/1.29/1.16)</f>
        <v>12</v>
      </c>
      <c r="E21" s="226">
        <v>19</v>
      </c>
      <c r="F21" s="233">
        <f>INT(E21*((1+(1.07*3.3)/100))*((1+(1.7*2.1)/100)))</f>
        <v>20</v>
      </c>
      <c r="G21" s="237">
        <f>INT(F21*((1+(1.07*2.8)/100))*((1+(1.07*3)/100))*((1+(1.07*3.1)/100))*((1+(1*3)/100))*((1+(1*3.1)/100))*((1+(1*3)/100))*((1+(1*2.7)/100))*((1+(1*2.7)/100)))</f>
        <v>25</v>
      </c>
      <c r="H21" s="69">
        <v>450</v>
      </c>
      <c r="I21" s="64">
        <f>I15</f>
        <v>9.7840000000000007</v>
      </c>
      <c r="J21" s="263">
        <f t="shared" si="3"/>
        <v>19.284264000000004</v>
      </c>
      <c r="K21" s="263">
        <f t="shared" si="4"/>
        <v>32.140439999999998</v>
      </c>
      <c r="L21" s="264">
        <f t="shared" si="5"/>
        <v>40.175550000000008</v>
      </c>
    </row>
    <row r="22" spans="2:12" ht="15.75" thickBot="1">
      <c r="D22" s="227">
        <f>SUM(D15:D21)</f>
        <v>3728</v>
      </c>
      <c r="E22" s="227">
        <f>SUM(E15:E21)</f>
        <v>5623</v>
      </c>
      <c r="F22" s="227">
        <f>SUM(F15:F21)</f>
        <v>5877</v>
      </c>
      <c r="G22" s="238">
        <f>SUM(G15:G21)</f>
        <v>7056</v>
      </c>
      <c r="J22" s="265">
        <f>SUM(J15:J21)</f>
        <v>3453.8295382000001</v>
      </c>
      <c r="K22" s="265">
        <f>SUM(K15:K21)</f>
        <v>5424.0027986000014</v>
      </c>
      <c r="L22" s="266">
        <f>SUM(L15:L21)</f>
        <v>6499.8326044000005</v>
      </c>
    </row>
    <row r="23" spans="2:12" ht="15.75" thickBot="1"/>
    <row r="24" spans="2:12" ht="20.25" customHeight="1">
      <c r="B24" s="220"/>
      <c r="C24" s="625">
        <v>677</v>
      </c>
      <c r="D24" s="610" t="s">
        <v>140</v>
      </c>
      <c r="E24" s="608" t="s">
        <v>155</v>
      </c>
      <c r="F24" s="608" t="s">
        <v>156</v>
      </c>
      <c r="G24" s="608" t="s">
        <v>208</v>
      </c>
      <c r="H24" s="608" t="s">
        <v>29</v>
      </c>
      <c r="I24" s="608" t="s">
        <v>30</v>
      </c>
      <c r="J24" s="616" t="s">
        <v>142</v>
      </c>
      <c r="K24" s="616" t="s">
        <v>157</v>
      </c>
      <c r="L24" s="601" t="s">
        <v>143</v>
      </c>
    </row>
    <row r="25" spans="2:12" ht="30.75" customHeight="1" thickBot="1">
      <c r="B25" s="344"/>
      <c r="C25" s="626"/>
      <c r="D25" s="611"/>
      <c r="E25" s="609"/>
      <c r="F25" s="609"/>
      <c r="G25" s="609"/>
      <c r="H25" s="609"/>
      <c r="I25" s="609"/>
      <c r="J25" s="617"/>
      <c r="K25" s="617"/>
      <c r="L25" s="602"/>
    </row>
    <row r="26" spans="2:12">
      <c r="B26" s="622" t="s">
        <v>31</v>
      </c>
      <c r="C26" s="623"/>
      <c r="D26" s="224">
        <f>INT(E26/1.29/1.16)</f>
        <v>1387</v>
      </c>
      <c r="E26" s="224">
        <v>2076</v>
      </c>
      <c r="F26" s="230">
        <f>INT(E26*((1+(0.9*3.3)/100))*((1+(0.9*2.1)/100)))</f>
        <v>2178</v>
      </c>
      <c r="G26" s="234">
        <f>INT(F26*((1+(0.9*2.8)/100))*((1+(0.9*3)/100))*((1+(0.9*3.1)/100))*((1+(0.8*3)/100))*((1+(0.8*3.1)/100))*((1+(0.8*3)/100))*((1+(0.8*2.7)/100))*((1+(0.8*2.7)/100)))</f>
        <v>2643</v>
      </c>
      <c r="H26" s="66">
        <v>155</v>
      </c>
      <c r="I26" s="61">
        <v>8.5150000000000006</v>
      </c>
      <c r="J26" s="257">
        <f t="shared" ref="J26:J32" si="6">(D26*H26*I26*365)/1000000</f>
        <v>668.16800537500001</v>
      </c>
      <c r="K26" s="257">
        <f>(F26*H26*I26*365)/1000000</f>
        <v>1049.2212802500001</v>
      </c>
      <c r="L26" s="258">
        <f>(G26*H26*I26*365)/1000000</f>
        <v>1273.2285783750001</v>
      </c>
    </row>
    <row r="27" spans="2:12" ht="15" customHeight="1">
      <c r="B27" s="618" t="s">
        <v>32</v>
      </c>
      <c r="C27" s="619"/>
      <c r="D27" s="228">
        <f>INT(E27/1.29/16)</f>
        <v>1</v>
      </c>
      <c r="E27" s="225">
        <v>25</v>
      </c>
      <c r="F27" s="231">
        <f>INT(E27*((1+(0.9*3.3)/100))*((1+(0.9*2.1)/100)))</f>
        <v>26</v>
      </c>
      <c r="G27" s="235">
        <f>INT(F27*((1+(0.9*2.8)/100))*((1+(0.9*3)/100))*((1+(0.9*3.1)/100))*((1+(0.8*3)/100))*((1+(0.8*3.1)/100))*((1+(0.8*3)/100))*((1+(0.8*2.7)/100))*((1+(0.8*2.7)/100)))</f>
        <v>31</v>
      </c>
      <c r="H27" s="67">
        <v>155</v>
      </c>
      <c r="I27" s="62">
        <f>I26</f>
        <v>8.5150000000000006</v>
      </c>
      <c r="J27" s="259">
        <f t="shared" si="6"/>
        <v>0.48173612500000002</v>
      </c>
      <c r="K27" s="259">
        <f t="shared" ref="K27:K32" si="7">(F27*H27*I27*365)/1000000</f>
        <v>12.525139250000002</v>
      </c>
      <c r="L27" s="260">
        <f t="shared" ref="L27:L32" si="8">(G27*H27*I27*365)/1000000</f>
        <v>14.933819875000001</v>
      </c>
    </row>
    <row r="28" spans="2:12" ht="16.5" customHeight="1">
      <c r="B28" s="618" t="s">
        <v>33</v>
      </c>
      <c r="C28" s="619"/>
      <c r="D28" s="228">
        <f>INT(E28/1.29/1.16)</f>
        <v>110</v>
      </c>
      <c r="E28" s="225">
        <v>166</v>
      </c>
      <c r="F28" s="232">
        <f>INT(E28*((1+(0.33*3.3)/100))*((1+(0.33*2.1)/100)))</f>
        <v>168</v>
      </c>
      <c r="G28" s="236">
        <f>INT(F28*((1+(0.33*2.8)/100))*((1+(0.33*3)/100))*((1+(0.33*3.1)/100))*((1+(0.33*3)/100))*((1+(0.33*3.1)/100))*((1+(0.33*3)/100))*((1+(0.33*2.7)/100))*((1+(0.33*2.7)/100)))</f>
        <v>181</v>
      </c>
      <c r="H28" s="68">
        <v>450</v>
      </c>
      <c r="I28" s="63">
        <f>I26</f>
        <v>8.5150000000000006</v>
      </c>
      <c r="J28" s="261">
        <f t="shared" si="6"/>
        <v>153.8447625</v>
      </c>
      <c r="K28" s="261">
        <f t="shared" si="7"/>
        <v>234.96290999999999</v>
      </c>
      <c r="L28" s="262">
        <f t="shared" si="8"/>
        <v>253.14456375</v>
      </c>
    </row>
    <row r="29" spans="2:12">
      <c r="B29" s="618" t="s">
        <v>34</v>
      </c>
      <c r="C29" s="65" t="s">
        <v>35</v>
      </c>
      <c r="D29" s="228">
        <f>INT(E29/1.29/1.16)</f>
        <v>112</v>
      </c>
      <c r="E29" s="225">
        <v>169</v>
      </c>
      <c r="F29" s="231">
        <f>INT(E29*((1+(0.35*3.3)/100))*((1+(0.35*2.1)/100)))</f>
        <v>172</v>
      </c>
      <c r="G29" s="235">
        <f>INT(F29*((1+(0.35*2.8)/100))*((1+(0.35*3)/100))*((1+(0.35*3.1)/100))*((1+(0.35*3)/100))*((1+(0.35*3.1)/100))*((1+(0.35*3)/100))*((1+(0.35*2.7)/100))*((1+(0.35*2.7)/100)))</f>
        <v>186</v>
      </c>
      <c r="H29" s="67">
        <v>450</v>
      </c>
      <c r="I29" s="62">
        <f>I26</f>
        <v>8.5150000000000006</v>
      </c>
      <c r="J29" s="259">
        <f t="shared" si="6"/>
        <v>156.64194000000001</v>
      </c>
      <c r="K29" s="259">
        <f t="shared" si="7"/>
        <v>240.557265</v>
      </c>
      <c r="L29" s="260">
        <f t="shared" si="8"/>
        <v>260.13750750000003</v>
      </c>
    </row>
    <row r="30" spans="2:12">
      <c r="B30" s="618"/>
      <c r="C30" s="65" t="s">
        <v>36</v>
      </c>
      <c r="D30" s="228">
        <f>INT(E30/1.29/1.16)</f>
        <v>187</v>
      </c>
      <c r="E30" s="225">
        <v>280</v>
      </c>
      <c r="F30" s="231">
        <f>INT(E30*((1+(1.07*3.3)/100))*((1+(1.07*2.1)/100)))</f>
        <v>296</v>
      </c>
      <c r="G30" s="235">
        <f>INT(F30*((1+(1.07*2.8)/100))*((1+(1.07*3)/100))*((1+(1.07*3.1)/100))*((1+(1*3)/100))*((1+(1*3.1)/100))*((1+(1*3)/100))*((1+(1*2.7)/100))*((1+(1*2.7)/100)))</f>
        <v>375</v>
      </c>
      <c r="H30" s="67">
        <v>900</v>
      </c>
      <c r="I30" s="62">
        <f>I26</f>
        <v>8.5150000000000006</v>
      </c>
      <c r="J30" s="259">
        <f t="shared" si="6"/>
        <v>523.07219250000003</v>
      </c>
      <c r="K30" s="259">
        <f t="shared" si="7"/>
        <v>827.96454000000006</v>
      </c>
      <c r="L30" s="260">
        <f t="shared" si="8"/>
        <v>1048.9415624999999</v>
      </c>
    </row>
    <row r="31" spans="2:12" ht="15.75" customHeight="1">
      <c r="B31" s="618" t="s">
        <v>37</v>
      </c>
      <c r="C31" s="619"/>
      <c r="D31" s="228">
        <f>INT(E31/1.29/1.16)</f>
        <v>18</v>
      </c>
      <c r="E31" s="225">
        <v>28</v>
      </c>
      <c r="F31" s="231">
        <f>INT(E31*((1+(1.07*3.3)/100))*((1+(1.07*2.1)/100)))</f>
        <v>29</v>
      </c>
      <c r="G31" s="235">
        <f>INT(F31*((1+(1.07*2.8)/100))*((1+(1.07*3)/100))*((1+(1.07*3.1)/100))*((1+(1*3)/100))*((1+(1*3.1)/100))*((1+(1*3)/100))*((1+(1*2.7)/100))*((1+(1*2.7)/100)))</f>
        <v>36</v>
      </c>
      <c r="H31" s="67">
        <v>450</v>
      </c>
      <c r="I31" s="62">
        <f>I26</f>
        <v>8.5150000000000006</v>
      </c>
      <c r="J31" s="259">
        <f t="shared" si="6"/>
        <v>25.174597500000001</v>
      </c>
      <c r="K31" s="259">
        <f t="shared" si="7"/>
        <v>40.55907375000001</v>
      </c>
      <c r="L31" s="260">
        <f t="shared" si="8"/>
        <v>50.349195000000002</v>
      </c>
    </row>
    <row r="32" spans="2:12" ht="15.75" thickBot="1">
      <c r="B32" s="620" t="s">
        <v>38</v>
      </c>
      <c r="C32" s="621"/>
      <c r="D32" s="229">
        <f>INT(E32/1.29/1.16)</f>
        <v>16</v>
      </c>
      <c r="E32" s="226">
        <v>25</v>
      </c>
      <c r="F32" s="233">
        <f>INT(E32*((1+(1.07*3.3)/100))*((1+(1.7*2.1)/100)))</f>
        <v>26</v>
      </c>
      <c r="G32" s="237">
        <f>INT(F32*((1+(1.07*2.8)/100))*((1+(1.07*3)/100))*((1+(1.07*3.1)/100))*((1+(1*3)/100))*((1+(1*3.1)/100))*((1+(1*3)/100))*((1+(1*2.7)/100))*((1+(1*2.7)/100)))</f>
        <v>32</v>
      </c>
      <c r="H32" s="69">
        <v>450</v>
      </c>
      <c r="I32" s="64">
        <f>I26</f>
        <v>8.5150000000000006</v>
      </c>
      <c r="J32" s="263">
        <f t="shared" si="6"/>
        <v>22.377420000000004</v>
      </c>
      <c r="K32" s="263">
        <f t="shared" si="7"/>
        <v>36.363307499999998</v>
      </c>
      <c r="L32" s="264">
        <f t="shared" si="8"/>
        <v>44.754840000000009</v>
      </c>
    </row>
    <row r="33" spans="2:12" ht="15.75" thickBot="1">
      <c r="D33" s="227">
        <f>SUM(D26:D32)</f>
        <v>1831</v>
      </c>
      <c r="E33" s="227">
        <f>SUM(E26:E32)</f>
        <v>2769</v>
      </c>
      <c r="F33" s="227">
        <f>SUM(F26:F32)</f>
        <v>2895</v>
      </c>
      <c r="G33" s="238">
        <f>SUM(G26:G32)</f>
        <v>3484</v>
      </c>
      <c r="J33" s="265">
        <f>SUM(J26:J32)</f>
        <v>1549.7606539999999</v>
      </c>
      <c r="K33" s="265">
        <f>SUM(K26:K32)</f>
        <v>2442.1535157499998</v>
      </c>
      <c r="L33" s="266">
        <f>SUM(L26:L32)</f>
        <v>2945.4900670000002</v>
      </c>
    </row>
    <row r="34" spans="2:12" ht="18" customHeight="1">
      <c r="B34" s="220"/>
      <c r="C34" s="221"/>
      <c r="D34" s="286"/>
      <c r="E34" s="285"/>
      <c r="F34" s="285"/>
      <c r="G34" s="285"/>
      <c r="H34" s="287"/>
      <c r="I34" s="283"/>
      <c r="J34" s="288"/>
      <c r="K34" s="288"/>
      <c r="L34" s="288"/>
    </row>
    <row r="35" spans="2:12" ht="20.25" customHeight="1" thickBot="1">
      <c r="B35" s="223"/>
      <c r="C35" s="223"/>
      <c r="D35" s="282"/>
      <c r="E35" s="289"/>
      <c r="F35" s="289"/>
      <c r="G35" s="289"/>
      <c r="H35" s="284"/>
      <c r="I35" s="283"/>
      <c r="J35" s="288"/>
      <c r="K35" s="288"/>
      <c r="L35" s="288"/>
    </row>
    <row r="36" spans="2:12" ht="16.5" customHeight="1" thickBot="1">
      <c r="B36" s="223"/>
      <c r="C36" s="355"/>
      <c r="D36" s="603" t="s">
        <v>42</v>
      </c>
      <c r="E36" s="605" t="s">
        <v>44</v>
      </c>
      <c r="F36" s="606"/>
      <c r="G36" s="607"/>
      <c r="H36" s="284"/>
      <c r="I36" s="612" t="s">
        <v>42</v>
      </c>
      <c r="J36" s="614" t="s">
        <v>141</v>
      </c>
      <c r="K36" s="614"/>
      <c r="L36" s="615"/>
    </row>
    <row r="37" spans="2:12" ht="51" customHeight="1">
      <c r="B37" s="223"/>
      <c r="C37" s="356"/>
      <c r="D37" s="604"/>
      <c r="E37" s="364" t="s">
        <v>193</v>
      </c>
      <c r="F37" s="365" t="s">
        <v>194</v>
      </c>
      <c r="G37" s="366" t="s">
        <v>195</v>
      </c>
      <c r="H37" s="290"/>
      <c r="I37" s="613"/>
      <c r="J37" s="347">
        <v>2000</v>
      </c>
      <c r="K37" s="350">
        <v>2013</v>
      </c>
      <c r="L37" s="353">
        <v>2020</v>
      </c>
    </row>
    <row r="38" spans="2:12" ht="14.25" customHeight="1">
      <c r="B38" s="223"/>
      <c r="C38" s="355"/>
      <c r="D38" s="362">
        <v>62</v>
      </c>
      <c r="E38" s="367">
        <f>J12</f>
        <v>1441.5173489999997</v>
      </c>
      <c r="F38" s="368">
        <f>K12</f>
        <v>2258.4162569999999</v>
      </c>
      <c r="G38" s="369">
        <f>L12</f>
        <v>2675.2266929999996</v>
      </c>
      <c r="H38" s="284"/>
      <c r="I38" s="349">
        <v>62</v>
      </c>
      <c r="J38" s="348">
        <f>D12</f>
        <v>3162</v>
      </c>
      <c r="K38" s="351">
        <f>F12</f>
        <v>4978</v>
      </c>
      <c r="L38" s="354">
        <f>G12</f>
        <v>5971</v>
      </c>
    </row>
    <row r="39" spans="2:12">
      <c r="B39" s="223"/>
      <c r="C39" s="355"/>
      <c r="D39" s="362">
        <v>63</v>
      </c>
      <c r="E39" s="367">
        <f>J22</f>
        <v>3453.8295382000001</v>
      </c>
      <c r="F39" s="368">
        <f>K22</f>
        <v>5424.0027986000014</v>
      </c>
      <c r="G39" s="369">
        <f>L22</f>
        <v>6499.8326044000005</v>
      </c>
      <c r="H39" s="293"/>
      <c r="I39" s="349">
        <v>63</v>
      </c>
      <c r="J39" s="348">
        <f>D22</f>
        <v>3728</v>
      </c>
      <c r="K39" s="351">
        <f>F22</f>
        <v>5877</v>
      </c>
      <c r="L39" s="354">
        <f>G22</f>
        <v>7056</v>
      </c>
    </row>
    <row r="40" spans="2:12">
      <c r="B40" s="223"/>
      <c r="C40" s="355"/>
      <c r="D40" s="362">
        <v>677</v>
      </c>
      <c r="E40" s="367">
        <f>J33</f>
        <v>1549.7606539999999</v>
      </c>
      <c r="F40" s="368">
        <f>K33</f>
        <v>2442.1535157499998</v>
      </c>
      <c r="G40" s="369">
        <f>L33</f>
        <v>2945.4900670000002</v>
      </c>
      <c r="H40" s="220"/>
      <c r="I40" s="349">
        <v>677</v>
      </c>
      <c r="J40" s="348">
        <f>D33</f>
        <v>1831</v>
      </c>
      <c r="K40" s="351">
        <f>F33</f>
        <v>2895</v>
      </c>
      <c r="L40" s="354">
        <f>G33</f>
        <v>3484</v>
      </c>
    </row>
    <row r="41" spans="2:12" ht="15.75" customHeight="1" thickBot="1">
      <c r="B41" s="223"/>
      <c r="C41" s="355"/>
      <c r="D41" s="363" t="s">
        <v>169</v>
      </c>
      <c r="E41" s="370">
        <f>SUM(E38:E40)</f>
        <v>6445.1075411999991</v>
      </c>
      <c r="F41" s="371">
        <f>SUM(F38:F40)</f>
        <v>10124.572571350001</v>
      </c>
      <c r="G41" s="372">
        <f>SUM(G38:G40)</f>
        <v>12120.5493644</v>
      </c>
      <c r="H41" s="220"/>
      <c r="I41" s="247" t="s">
        <v>169</v>
      </c>
      <c r="J41" s="255">
        <f>SUM(J38:J40)</f>
        <v>8721</v>
      </c>
      <c r="K41" s="352">
        <f>SUM(K38:K40)</f>
        <v>13750</v>
      </c>
      <c r="L41" s="256">
        <f>SUM(L38:L40)</f>
        <v>16511</v>
      </c>
    </row>
    <row r="42" spans="2:12">
      <c r="B42" s="220"/>
      <c r="C42" s="220"/>
      <c r="D42" s="222"/>
      <c r="E42" s="222"/>
      <c r="F42" s="222"/>
      <c r="G42" s="222"/>
      <c r="H42" s="220"/>
      <c r="I42" s="220"/>
      <c r="J42" s="222"/>
      <c r="K42" s="222"/>
      <c r="L42" s="222"/>
    </row>
    <row r="43" spans="2:12" ht="15.75" thickBot="1"/>
    <row r="44" spans="2:12" s="70" customFormat="1" ht="18.75" customHeight="1" thickBot="1">
      <c r="F44" s="357" t="s">
        <v>73</v>
      </c>
      <c r="G44" s="358"/>
      <c r="H44" s="59"/>
      <c r="I44" s="59"/>
      <c r="J44" s="300"/>
      <c r="K44" s="282"/>
      <c r="L44" s="282"/>
    </row>
    <row r="45" spans="2:12" s="70" customFormat="1" ht="63.75" customHeight="1">
      <c r="F45" s="193"/>
      <c r="G45" s="269" t="s">
        <v>142</v>
      </c>
      <c r="H45" s="269" t="s">
        <v>157</v>
      </c>
      <c r="I45" s="270" t="s">
        <v>143</v>
      </c>
      <c r="J45" s="302"/>
      <c r="K45" s="302"/>
      <c r="L45" s="302"/>
    </row>
    <row r="46" spans="2:12" s="70" customFormat="1">
      <c r="F46" s="71" t="s">
        <v>40</v>
      </c>
      <c r="G46" s="239">
        <f>E41</f>
        <v>6445.1075411999991</v>
      </c>
      <c r="H46" s="239">
        <f>F41</f>
        <v>10124.572571350001</v>
      </c>
      <c r="I46" s="240">
        <f>G41</f>
        <v>12120.5493644</v>
      </c>
      <c r="J46" s="314"/>
      <c r="K46" s="314"/>
      <c r="L46" s="314"/>
    </row>
    <row r="47" spans="2:12" s="70" customFormat="1" ht="15.75" thickBot="1">
      <c r="F47" s="271" t="s">
        <v>39</v>
      </c>
      <c r="G47" s="241">
        <f>'Ruch lokalny'!F28-'Ruch lokalny'!F13</f>
        <v>8289.3552096588828</v>
      </c>
      <c r="H47" s="241">
        <f>'Ruch lokalny'!F56-'Ruch lokalny'!F41</f>
        <v>12946.807030746077</v>
      </c>
      <c r="I47" s="242">
        <f>'Ruch lokalny'!F87-'Ruch lokalny'!F72</f>
        <v>12653.340885831003</v>
      </c>
      <c r="J47" s="314"/>
      <c r="K47" s="314"/>
      <c r="L47" s="314"/>
    </row>
    <row r="48" spans="2:12" s="70" customFormat="1" ht="15.75" thickBot="1">
      <c r="F48" s="59"/>
      <c r="G48" s="359">
        <f>SUM(G46:G47)</f>
        <v>14734.462750858882</v>
      </c>
      <c r="H48" s="360">
        <f>SUM(H46:H47)</f>
        <v>23071.37960209608</v>
      </c>
      <c r="I48" s="361">
        <f>SUM(I46:I47)</f>
        <v>24773.890250231001</v>
      </c>
      <c r="J48" s="314"/>
      <c r="K48" s="314"/>
      <c r="L48" s="314"/>
    </row>
    <row r="49" spans="4:12" s="70" customFormat="1">
      <c r="I49" s="282"/>
      <c r="J49" s="315"/>
      <c r="K49" s="315"/>
      <c r="L49" s="315"/>
    </row>
    <row r="50" spans="4:12" s="70" customFormat="1">
      <c r="D50" s="300"/>
      <c r="E50" s="301"/>
      <c r="F50" s="282"/>
      <c r="G50" s="282"/>
    </row>
    <row r="51" spans="4:12">
      <c r="D51" s="302"/>
      <c r="E51" s="303"/>
      <c r="F51" s="303"/>
      <c r="G51" s="303"/>
    </row>
    <row r="52" spans="4:12">
      <c r="D52" s="304"/>
      <c r="E52" s="285"/>
      <c r="F52" s="285"/>
      <c r="G52" s="285"/>
    </row>
    <row r="53" spans="4:12">
      <c r="D53" s="286"/>
      <c r="E53" s="285"/>
      <c r="F53" s="285"/>
      <c r="G53" s="285"/>
    </row>
    <row r="54" spans="4:12">
      <c r="D54" s="286"/>
      <c r="E54" s="285"/>
      <c r="F54" s="285"/>
      <c r="G54" s="285"/>
    </row>
    <row r="55" spans="4:12" ht="15.75" customHeight="1"/>
    <row r="61" spans="4:12">
      <c r="D61" s="624"/>
      <c r="E61" s="624"/>
      <c r="F61" s="624"/>
      <c r="G61" s="624"/>
    </row>
    <row r="62" spans="4:12">
      <c r="D62" s="624"/>
      <c r="E62" s="294"/>
      <c r="F62" s="291"/>
      <c r="G62" s="291"/>
    </row>
    <row r="63" spans="4:12">
      <c r="D63" s="624"/>
      <c r="E63" s="292"/>
      <c r="F63" s="292"/>
      <c r="G63" s="292"/>
    </row>
  </sheetData>
  <mergeCells count="34">
    <mergeCell ref="D61:D63"/>
    <mergeCell ref="E61:G61"/>
    <mergeCell ref="B11:C11"/>
    <mergeCell ref="B26:C26"/>
    <mergeCell ref="B27:C27"/>
    <mergeCell ref="B15:C15"/>
    <mergeCell ref="B16:C16"/>
    <mergeCell ref="C24:C25"/>
    <mergeCell ref="B32:C32"/>
    <mergeCell ref="E24:E25"/>
    <mergeCell ref="F24:F25"/>
    <mergeCell ref="G24:G25"/>
    <mergeCell ref="B31:C31"/>
    <mergeCell ref="B28:C28"/>
    <mergeCell ref="B29:B30"/>
    <mergeCell ref="B17:C17"/>
    <mergeCell ref="B18:B19"/>
    <mergeCell ref="B20:C20"/>
    <mergeCell ref="B21:C21"/>
    <mergeCell ref="B5:C5"/>
    <mergeCell ref="B6:C6"/>
    <mergeCell ref="B7:C7"/>
    <mergeCell ref="B8:B9"/>
    <mergeCell ref="B10:C10"/>
    <mergeCell ref="L24:L25"/>
    <mergeCell ref="D36:D37"/>
    <mergeCell ref="E36:G36"/>
    <mergeCell ref="I24:I25"/>
    <mergeCell ref="D24:D25"/>
    <mergeCell ref="I36:I37"/>
    <mergeCell ref="J36:L36"/>
    <mergeCell ref="J24:J25"/>
    <mergeCell ref="K24:K25"/>
    <mergeCell ref="H24:H25"/>
  </mergeCells>
  <pageMargins left="0.70000000000000007" right="0.70000000000000007" top="0.75" bottom="0.75" header="0.30000000000000004" footer="0.30000000000000004"/>
  <pageSetup paperSize="9" scale="53" fitToWidth="0" fitToHeight="0" orientation="landscape" r:id="rId1"/>
  <rowBreaks count="1" manualBreakCount="1">
    <brk id="48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3"/>
  <sheetViews>
    <sheetView showGridLines="0" view="pageBreakPreview" topLeftCell="A10" zoomScale="98" zoomScaleNormal="100" zoomScaleSheetLayoutView="98" workbookViewId="0">
      <selection activeCell="L8" sqref="L8"/>
    </sheetView>
  </sheetViews>
  <sheetFormatPr defaultRowHeight="15"/>
  <cols>
    <col min="1" max="1" width="3" style="385" customWidth="1"/>
    <col min="2" max="2" width="23.625" style="384" customWidth="1"/>
    <col min="3" max="3" width="11.125" style="385" customWidth="1"/>
    <col min="4" max="4" width="13.75" style="385" customWidth="1"/>
    <col min="5" max="5" width="11.25" style="385" customWidth="1"/>
    <col min="6" max="6" width="12.5" style="385" customWidth="1"/>
    <col min="7" max="7" width="9.625" style="385" customWidth="1"/>
    <col min="8" max="8" width="13.75" style="385" customWidth="1"/>
    <col min="9" max="9" width="9.875" style="385" customWidth="1"/>
    <col min="10" max="10" width="13.5" style="385" customWidth="1"/>
    <col min="11" max="12" width="10.625" style="385" customWidth="1"/>
    <col min="13" max="13" width="12.625" style="385" customWidth="1"/>
    <col min="14" max="14" width="3.625" style="385" customWidth="1"/>
    <col min="15" max="256" width="9" style="385"/>
    <col min="257" max="257" width="3" style="385" customWidth="1"/>
    <col min="258" max="258" width="23.625" style="385" customWidth="1"/>
    <col min="259" max="259" width="11.125" style="385" customWidth="1"/>
    <col min="260" max="260" width="13.75" style="385" customWidth="1"/>
    <col min="261" max="261" width="11.25" style="385" customWidth="1"/>
    <col min="262" max="262" width="12.5" style="385" customWidth="1"/>
    <col min="263" max="263" width="9.625" style="385" customWidth="1"/>
    <col min="264" max="264" width="13.75" style="385" customWidth="1"/>
    <col min="265" max="265" width="9.875" style="385" customWidth="1"/>
    <col min="266" max="266" width="13.5" style="385" customWidth="1"/>
    <col min="267" max="268" width="10.625" style="385" customWidth="1"/>
    <col min="269" max="269" width="12.625" style="385" customWidth="1"/>
    <col min="270" max="270" width="3.625" style="385" customWidth="1"/>
    <col min="271" max="512" width="9" style="385"/>
    <col min="513" max="513" width="3" style="385" customWidth="1"/>
    <col min="514" max="514" width="23.625" style="385" customWidth="1"/>
    <col min="515" max="515" width="11.125" style="385" customWidth="1"/>
    <col min="516" max="516" width="13.75" style="385" customWidth="1"/>
    <col min="517" max="517" width="11.25" style="385" customWidth="1"/>
    <col min="518" max="518" width="12.5" style="385" customWidth="1"/>
    <col min="519" max="519" width="9.625" style="385" customWidth="1"/>
    <col min="520" max="520" width="13.75" style="385" customWidth="1"/>
    <col min="521" max="521" width="9.875" style="385" customWidth="1"/>
    <col min="522" max="522" width="13.5" style="385" customWidth="1"/>
    <col min="523" max="524" width="10.625" style="385" customWidth="1"/>
    <col min="525" max="525" width="12.625" style="385" customWidth="1"/>
    <col min="526" max="526" width="3.625" style="385" customWidth="1"/>
    <col min="527" max="768" width="9" style="385"/>
    <col min="769" max="769" width="3" style="385" customWidth="1"/>
    <col min="770" max="770" width="23.625" style="385" customWidth="1"/>
    <col min="771" max="771" width="11.125" style="385" customWidth="1"/>
    <col min="772" max="772" width="13.75" style="385" customWidth="1"/>
    <col min="773" max="773" width="11.25" style="385" customWidth="1"/>
    <col min="774" max="774" width="12.5" style="385" customWidth="1"/>
    <col min="775" max="775" width="9.625" style="385" customWidth="1"/>
    <col min="776" max="776" width="13.75" style="385" customWidth="1"/>
    <col min="777" max="777" width="9.875" style="385" customWidth="1"/>
    <col min="778" max="778" width="13.5" style="385" customWidth="1"/>
    <col min="779" max="780" width="10.625" style="385" customWidth="1"/>
    <col min="781" max="781" width="12.625" style="385" customWidth="1"/>
    <col min="782" max="782" width="3.625" style="385" customWidth="1"/>
    <col min="783" max="1024" width="9" style="385"/>
    <col min="1025" max="1025" width="3" style="385" customWidth="1"/>
    <col min="1026" max="1026" width="23.625" style="385" customWidth="1"/>
    <col min="1027" max="1027" width="11.125" style="385" customWidth="1"/>
    <col min="1028" max="1028" width="13.75" style="385" customWidth="1"/>
    <col min="1029" max="1029" width="11.25" style="385" customWidth="1"/>
    <col min="1030" max="1030" width="12.5" style="385" customWidth="1"/>
    <col min="1031" max="1031" width="9.625" style="385" customWidth="1"/>
    <col min="1032" max="1032" width="13.75" style="385" customWidth="1"/>
    <col min="1033" max="1033" width="9.875" style="385" customWidth="1"/>
    <col min="1034" max="1034" width="13.5" style="385" customWidth="1"/>
    <col min="1035" max="1036" width="10.625" style="385" customWidth="1"/>
    <col min="1037" max="1037" width="12.625" style="385" customWidth="1"/>
    <col min="1038" max="1038" width="3.625" style="385" customWidth="1"/>
    <col min="1039" max="1280" width="9" style="385"/>
    <col min="1281" max="1281" width="3" style="385" customWidth="1"/>
    <col min="1282" max="1282" width="23.625" style="385" customWidth="1"/>
    <col min="1283" max="1283" width="11.125" style="385" customWidth="1"/>
    <col min="1284" max="1284" width="13.75" style="385" customWidth="1"/>
    <col min="1285" max="1285" width="11.25" style="385" customWidth="1"/>
    <col min="1286" max="1286" width="12.5" style="385" customWidth="1"/>
    <col min="1287" max="1287" width="9.625" style="385" customWidth="1"/>
    <col min="1288" max="1288" width="13.75" style="385" customWidth="1"/>
    <col min="1289" max="1289" width="9.875" style="385" customWidth="1"/>
    <col min="1290" max="1290" width="13.5" style="385" customWidth="1"/>
    <col min="1291" max="1292" width="10.625" style="385" customWidth="1"/>
    <col min="1293" max="1293" width="12.625" style="385" customWidth="1"/>
    <col min="1294" max="1294" width="3.625" style="385" customWidth="1"/>
    <col min="1295" max="1536" width="9" style="385"/>
    <col min="1537" max="1537" width="3" style="385" customWidth="1"/>
    <col min="1538" max="1538" width="23.625" style="385" customWidth="1"/>
    <col min="1539" max="1539" width="11.125" style="385" customWidth="1"/>
    <col min="1540" max="1540" width="13.75" style="385" customWidth="1"/>
    <col min="1541" max="1541" width="11.25" style="385" customWidth="1"/>
    <col min="1542" max="1542" width="12.5" style="385" customWidth="1"/>
    <col min="1543" max="1543" width="9.625" style="385" customWidth="1"/>
    <col min="1544" max="1544" width="13.75" style="385" customWidth="1"/>
    <col min="1545" max="1545" width="9.875" style="385" customWidth="1"/>
    <col min="1546" max="1546" width="13.5" style="385" customWidth="1"/>
    <col min="1547" max="1548" width="10.625" style="385" customWidth="1"/>
    <col min="1549" max="1549" width="12.625" style="385" customWidth="1"/>
    <col min="1550" max="1550" width="3.625" style="385" customWidth="1"/>
    <col min="1551" max="1792" width="9" style="385"/>
    <col min="1793" max="1793" width="3" style="385" customWidth="1"/>
    <col min="1794" max="1794" width="23.625" style="385" customWidth="1"/>
    <col min="1795" max="1795" width="11.125" style="385" customWidth="1"/>
    <col min="1796" max="1796" width="13.75" style="385" customWidth="1"/>
    <col min="1797" max="1797" width="11.25" style="385" customWidth="1"/>
    <col min="1798" max="1798" width="12.5" style="385" customWidth="1"/>
    <col min="1799" max="1799" width="9.625" style="385" customWidth="1"/>
    <col min="1800" max="1800" width="13.75" style="385" customWidth="1"/>
    <col min="1801" max="1801" width="9.875" style="385" customWidth="1"/>
    <col min="1802" max="1802" width="13.5" style="385" customWidth="1"/>
    <col min="1803" max="1804" width="10.625" style="385" customWidth="1"/>
    <col min="1805" max="1805" width="12.625" style="385" customWidth="1"/>
    <col min="1806" max="1806" width="3.625" style="385" customWidth="1"/>
    <col min="1807" max="2048" width="9" style="385"/>
    <col min="2049" max="2049" width="3" style="385" customWidth="1"/>
    <col min="2050" max="2050" width="23.625" style="385" customWidth="1"/>
    <col min="2051" max="2051" width="11.125" style="385" customWidth="1"/>
    <col min="2052" max="2052" width="13.75" style="385" customWidth="1"/>
    <col min="2053" max="2053" width="11.25" style="385" customWidth="1"/>
    <col min="2054" max="2054" width="12.5" style="385" customWidth="1"/>
    <col min="2055" max="2055" width="9.625" style="385" customWidth="1"/>
    <col min="2056" max="2056" width="13.75" style="385" customWidth="1"/>
    <col min="2057" max="2057" width="9.875" style="385" customWidth="1"/>
    <col min="2058" max="2058" width="13.5" style="385" customWidth="1"/>
    <col min="2059" max="2060" width="10.625" style="385" customWidth="1"/>
    <col min="2061" max="2061" width="12.625" style="385" customWidth="1"/>
    <col min="2062" max="2062" width="3.625" style="385" customWidth="1"/>
    <col min="2063" max="2304" width="9" style="385"/>
    <col min="2305" max="2305" width="3" style="385" customWidth="1"/>
    <col min="2306" max="2306" width="23.625" style="385" customWidth="1"/>
    <col min="2307" max="2307" width="11.125" style="385" customWidth="1"/>
    <col min="2308" max="2308" width="13.75" style="385" customWidth="1"/>
    <col min="2309" max="2309" width="11.25" style="385" customWidth="1"/>
    <col min="2310" max="2310" width="12.5" style="385" customWidth="1"/>
    <col min="2311" max="2311" width="9.625" style="385" customWidth="1"/>
    <col min="2312" max="2312" width="13.75" style="385" customWidth="1"/>
    <col min="2313" max="2313" width="9.875" style="385" customWidth="1"/>
    <col min="2314" max="2314" width="13.5" style="385" customWidth="1"/>
    <col min="2315" max="2316" width="10.625" style="385" customWidth="1"/>
    <col min="2317" max="2317" width="12.625" style="385" customWidth="1"/>
    <col min="2318" max="2318" width="3.625" style="385" customWidth="1"/>
    <col min="2319" max="2560" width="9" style="385"/>
    <col min="2561" max="2561" width="3" style="385" customWidth="1"/>
    <col min="2562" max="2562" width="23.625" style="385" customWidth="1"/>
    <col min="2563" max="2563" width="11.125" style="385" customWidth="1"/>
    <col min="2564" max="2564" width="13.75" style="385" customWidth="1"/>
    <col min="2565" max="2565" width="11.25" style="385" customWidth="1"/>
    <col min="2566" max="2566" width="12.5" style="385" customWidth="1"/>
    <col min="2567" max="2567" width="9.625" style="385" customWidth="1"/>
    <col min="2568" max="2568" width="13.75" style="385" customWidth="1"/>
    <col min="2569" max="2569" width="9.875" style="385" customWidth="1"/>
    <col min="2570" max="2570" width="13.5" style="385" customWidth="1"/>
    <col min="2571" max="2572" width="10.625" style="385" customWidth="1"/>
    <col min="2573" max="2573" width="12.625" style="385" customWidth="1"/>
    <col min="2574" max="2574" width="3.625" style="385" customWidth="1"/>
    <col min="2575" max="2816" width="9" style="385"/>
    <col min="2817" max="2817" width="3" style="385" customWidth="1"/>
    <col min="2818" max="2818" width="23.625" style="385" customWidth="1"/>
    <col min="2819" max="2819" width="11.125" style="385" customWidth="1"/>
    <col min="2820" max="2820" width="13.75" style="385" customWidth="1"/>
    <col min="2821" max="2821" width="11.25" style="385" customWidth="1"/>
    <col min="2822" max="2822" width="12.5" style="385" customWidth="1"/>
    <col min="2823" max="2823" width="9.625" style="385" customWidth="1"/>
    <col min="2824" max="2824" width="13.75" style="385" customWidth="1"/>
    <col min="2825" max="2825" width="9.875" style="385" customWidth="1"/>
    <col min="2826" max="2826" width="13.5" style="385" customWidth="1"/>
    <col min="2827" max="2828" width="10.625" style="385" customWidth="1"/>
    <col min="2829" max="2829" width="12.625" style="385" customWidth="1"/>
    <col min="2830" max="2830" width="3.625" style="385" customWidth="1"/>
    <col min="2831" max="3072" width="9" style="385"/>
    <col min="3073" max="3073" width="3" style="385" customWidth="1"/>
    <col min="3074" max="3074" width="23.625" style="385" customWidth="1"/>
    <col min="3075" max="3075" width="11.125" style="385" customWidth="1"/>
    <col min="3076" max="3076" width="13.75" style="385" customWidth="1"/>
    <col min="3077" max="3077" width="11.25" style="385" customWidth="1"/>
    <col min="3078" max="3078" width="12.5" style="385" customWidth="1"/>
    <col min="3079" max="3079" width="9.625" style="385" customWidth="1"/>
    <col min="3080" max="3080" width="13.75" style="385" customWidth="1"/>
    <col min="3081" max="3081" width="9.875" style="385" customWidth="1"/>
    <col min="3082" max="3082" width="13.5" style="385" customWidth="1"/>
    <col min="3083" max="3084" width="10.625" style="385" customWidth="1"/>
    <col min="3085" max="3085" width="12.625" style="385" customWidth="1"/>
    <col min="3086" max="3086" width="3.625" style="385" customWidth="1"/>
    <col min="3087" max="3328" width="9" style="385"/>
    <col min="3329" max="3329" width="3" style="385" customWidth="1"/>
    <col min="3330" max="3330" width="23.625" style="385" customWidth="1"/>
    <col min="3331" max="3331" width="11.125" style="385" customWidth="1"/>
    <col min="3332" max="3332" width="13.75" style="385" customWidth="1"/>
    <col min="3333" max="3333" width="11.25" style="385" customWidth="1"/>
    <col min="3334" max="3334" width="12.5" style="385" customWidth="1"/>
    <col min="3335" max="3335" width="9.625" style="385" customWidth="1"/>
    <col min="3336" max="3336" width="13.75" style="385" customWidth="1"/>
    <col min="3337" max="3337" width="9.875" style="385" customWidth="1"/>
    <col min="3338" max="3338" width="13.5" style="385" customWidth="1"/>
    <col min="3339" max="3340" width="10.625" style="385" customWidth="1"/>
    <col min="3341" max="3341" width="12.625" style="385" customWidth="1"/>
    <col min="3342" max="3342" width="3.625" style="385" customWidth="1"/>
    <col min="3343" max="3584" width="9" style="385"/>
    <col min="3585" max="3585" width="3" style="385" customWidth="1"/>
    <col min="3586" max="3586" width="23.625" style="385" customWidth="1"/>
    <col min="3587" max="3587" width="11.125" style="385" customWidth="1"/>
    <col min="3588" max="3588" width="13.75" style="385" customWidth="1"/>
    <col min="3589" max="3589" width="11.25" style="385" customWidth="1"/>
    <col min="3590" max="3590" width="12.5" style="385" customWidth="1"/>
    <col min="3591" max="3591" width="9.625" style="385" customWidth="1"/>
    <col min="3592" max="3592" width="13.75" style="385" customWidth="1"/>
    <col min="3593" max="3593" width="9.875" style="385" customWidth="1"/>
    <col min="3594" max="3594" width="13.5" style="385" customWidth="1"/>
    <col min="3595" max="3596" width="10.625" style="385" customWidth="1"/>
    <col min="3597" max="3597" width="12.625" style="385" customWidth="1"/>
    <col min="3598" max="3598" width="3.625" style="385" customWidth="1"/>
    <col min="3599" max="3840" width="9" style="385"/>
    <col min="3841" max="3841" width="3" style="385" customWidth="1"/>
    <col min="3842" max="3842" width="23.625" style="385" customWidth="1"/>
    <col min="3843" max="3843" width="11.125" style="385" customWidth="1"/>
    <col min="3844" max="3844" width="13.75" style="385" customWidth="1"/>
    <col min="3845" max="3845" width="11.25" style="385" customWidth="1"/>
    <col min="3846" max="3846" width="12.5" style="385" customWidth="1"/>
    <col min="3847" max="3847" width="9.625" style="385" customWidth="1"/>
    <col min="3848" max="3848" width="13.75" style="385" customWidth="1"/>
    <col min="3849" max="3849" width="9.875" style="385" customWidth="1"/>
    <col min="3850" max="3850" width="13.5" style="385" customWidth="1"/>
    <col min="3851" max="3852" width="10.625" style="385" customWidth="1"/>
    <col min="3853" max="3853" width="12.625" style="385" customWidth="1"/>
    <col min="3854" max="3854" width="3.625" style="385" customWidth="1"/>
    <col min="3855" max="4096" width="9" style="385"/>
    <col min="4097" max="4097" width="3" style="385" customWidth="1"/>
    <col min="4098" max="4098" width="23.625" style="385" customWidth="1"/>
    <col min="4099" max="4099" width="11.125" style="385" customWidth="1"/>
    <col min="4100" max="4100" width="13.75" style="385" customWidth="1"/>
    <col min="4101" max="4101" width="11.25" style="385" customWidth="1"/>
    <col min="4102" max="4102" width="12.5" style="385" customWidth="1"/>
    <col min="4103" max="4103" width="9.625" style="385" customWidth="1"/>
    <col min="4104" max="4104" width="13.75" style="385" customWidth="1"/>
    <col min="4105" max="4105" width="9.875" style="385" customWidth="1"/>
    <col min="4106" max="4106" width="13.5" style="385" customWidth="1"/>
    <col min="4107" max="4108" width="10.625" style="385" customWidth="1"/>
    <col min="4109" max="4109" width="12.625" style="385" customWidth="1"/>
    <col min="4110" max="4110" width="3.625" style="385" customWidth="1"/>
    <col min="4111" max="4352" width="9" style="385"/>
    <col min="4353" max="4353" width="3" style="385" customWidth="1"/>
    <col min="4354" max="4354" width="23.625" style="385" customWidth="1"/>
    <col min="4355" max="4355" width="11.125" style="385" customWidth="1"/>
    <col min="4356" max="4356" width="13.75" style="385" customWidth="1"/>
    <col min="4357" max="4357" width="11.25" style="385" customWidth="1"/>
    <col min="4358" max="4358" width="12.5" style="385" customWidth="1"/>
    <col min="4359" max="4359" width="9.625" style="385" customWidth="1"/>
    <col min="4360" max="4360" width="13.75" style="385" customWidth="1"/>
    <col min="4361" max="4361" width="9.875" style="385" customWidth="1"/>
    <col min="4362" max="4362" width="13.5" style="385" customWidth="1"/>
    <col min="4363" max="4364" width="10.625" style="385" customWidth="1"/>
    <col min="4365" max="4365" width="12.625" style="385" customWidth="1"/>
    <col min="4366" max="4366" width="3.625" style="385" customWidth="1"/>
    <col min="4367" max="4608" width="9" style="385"/>
    <col min="4609" max="4609" width="3" style="385" customWidth="1"/>
    <col min="4610" max="4610" width="23.625" style="385" customWidth="1"/>
    <col min="4611" max="4611" width="11.125" style="385" customWidth="1"/>
    <col min="4612" max="4612" width="13.75" style="385" customWidth="1"/>
    <col min="4613" max="4613" width="11.25" style="385" customWidth="1"/>
    <col min="4614" max="4614" width="12.5" style="385" customWidth="1"/>
    <col min="4615" max="4615" width="9.625" style="385" customWidth="1"/>
    <col min="4616" max="4616" width="13.75" style="385" customWidth="1"/>
    <col min="4617" max="4617" width="9.875" style="385" customWidth="1"/>
    <col min="4618" max="4618" width="13.5" style="385" customWidth="1"/>
    <col min="4619" max="4620" width="10.625" style="385" customWidth="1"/>
    <col min="4621" max="4621" width="12.625" style="385" customWidth="1"/>
    <col min="4622" max="4622" width="3.625" style="385" customWidth="1"/>
    <col min="4623" max="4864" width="9" style="385"/>
    <col min="4865" max="4865" width="3" style="385" customWidth="1"/>
    <col min="4866" max="4866" width="23.625" style="385" customWidth="1"/>
    <col min="4867" max="4867" width="11.125" style="385" customWidth="1"/>
    <col min="4868" max="4868" width="13.75" style="385" customWidth="1"/>
    <col min="4869" max="4869" width="11.25" style="385" customWidth="1"/>
    <col min="4870" max="4870" width="12.5" style="385" customWidth="1"/>
    <col min="4871" max="4871" width="9.625" style="385" customWidth="1"/>
    <col min="4872" max="4872" width="13.75" style="385" customWidth="1"/>
    <col min="4873" max="4873" width="9.875" style="385" customWidth="1"/>
    <col min="4874" max="4874" width="13.5" style="385" customWidth="1"/>
    <col min="4875" max="4876" width="10.625" style="385" customWidth="1"/>
    <col min="4877" max="4877" width="12.625" style="385" customWidth="1"/>
    <col min="4878" max="4878" width="3.625" style="385" customWidth="1"/>
    <col min="4879" max="5120" width="9" style="385"/>
    <col min="5121" max="5121" width="3" style="385" customWidth="1"/>
    <col min="5122" max="5122" width="23.625" style="385" customWidth="1"/>
    <col min="5123" max="5123" width="11.125" style="385" customWidth="1"/>
    <col min="5124" max="5124" width="13.75" style="385" customWidth="1"/>
    <col min="5125" max="5125" width="11.25" style="385" customWidth="1"/>
    <col min="5126" max="5126" width="12.5" style="385" customWidth="1"/>
    <col min="5127" max="5127" width="9.625" style="385" customWidth="1"/>
    <col min="5128" max="5128" width="13.75" style="385" customWidth="1"/>
    <col min="5129" max="5129" width="9.875" style="385" customWidth="1"/>
    <col min="5130" max="5130" width="13.5" style="385" customWidth="1"/>
    <col min="5131" max="5132" width="10.625" style="385" customWidth="1"/>
    <col min="5133" max="5133" width="12.625" style="385" customWidth="1"/>
    <col min="5134" max="5134" width="3.625" style="385" customWidth="1"/>
    <col min="5135" max="5376" width="9" style="385"/>
    <col min="5377" max="5377" width="3" style="385" customWidth="1"/>
    <col min="5378" max="5378" width="23.625" style="385" customWidth="1"/>
    <col min="5379" max="5379" width="11.125" style="385" customWidth="1"/>
    <col min="5380" max="5380" width="13.75" style="385" customWidth="1"/>
    <col min="5381" max="5381" width="11.25" style="385" customWidth="1"/>
    <col min="5382" max="5382" width="12.5" style="385" customWidth="1"/>
    <col min="5383" max="5383" width="9.625" style="385" customWidth="1"/>
    <col min="5384" max="5384" width="13.75" style="385" customWidth="1"/>
    <col min="5385" max="5385" width="9.875" style="385" customWidth="1"/>
    <col min="5386" max="5386" width="13.5" style="385" customWidth="1"/>
    <col min="5387" max="5388" width="10.625" style="385" customWidth="1"/>
    <col min="5389" max="5389" width="12.625" style="385" customWidth="1"/>
    <col min="5390" max="5390" width="3.625" style="385" customWidth="1"/>
    <col min="5391" max="5632" width="9" style="385"/>
    <col min="5633" max="5633" width="3" style="385" customWidth="1"/>
    <col min="5634" max="5634" width="23.625" style="385" customWidth="1"/>
    <col min="5635" max="5635" width="11.125" style="385" customWidth="1"/>
    <col min="5636" max="5636" width="13.75" style="385" customWidth="1"/>
    <col min="5637" max="5637" width="11.25" style="385" customWidth="1"/>
    <col min="5638" max="5638" width="12.5" style="385" customWidth="1"/>
    <col min="5639" max="5639" width="9.625" style="385" customWidth="1"/>
    <col min="5640" max="5640" width="13.75" style="385" customWidth="1"/>
    <col min="5641" max="5641" width="9.875" style="385" customWidth="1"/>
    <col min="5642" max="5642" width="13.5" style="385" customWidth="1"/>
    <col min="5643" max="5644" width="10.625" style="385" customWidth="1"/>
    <col min="5645" max="5645" width="12.625" style="385" customWidth="1"/>
    <col min="5646" max="5646" width="3.625" style="385" customWidth="1"/>
    <col min="5647" max="5888" width="9" style="385"/>
    <col min="5889" max="5889" width="3" style="385" customWidth="1"/>
    <col min="5890" max="5890" width="23.625" style="385" customWidth="1"/>
    <col min="5891" max="5891" width="11.125" style="385" customWidth="1"/>
    <col min="5892" max="5892" width="13.75" style="385" customWidth="1"/>
    <col min="5893" max="5893" width="11.25" style="385" customWidth="1"/>
    <col min="5894" max="5894" width="12.5" style="385" customWidth="1"/>
    <col min="5895" max="5895" width="9.625" style="385" customWidth="1"/>
    <col min="5896" max="5896" width="13.75" style="385" customWidth="1"/>
    <col min="5897" max="5897" width="9.875" style="385" customWidth="1"/>
    <col min="5898" max="5898" width="13.5" style="385" customWidth="1"/>
    <col min="5899" max="5900" width="10.625" style="385" customWidth="1"/>
    <col min="5901" max="5901" width="12.625" style="385" customWidth="1"/>
    <col min="5902" max="5902" width="3.625" style="385" customWidth="1"/>
    <col min="5903" max="6144" width="9" style="385"/>
    <col min="6145" max="6145" width="3" style="385" customWidth="1"/>
    <col min="6146" max="6146" width="23.625" style="385" customWidth="1"/>
    <col min="6147" max="6147" width="11.125" style="385" customWidth="1"/>
    <col min="6148" max="6148" width="13.75" style="385" customWidth="1"/>
    <col min="6149" max="6149" width="11.25" style="385" customWidth="1"/>
    <col min="6150" max="6150" width="12.5" style="385" customWidth="1"/>
    <col min="6151" max="6151" width="9.625" style="385" customWidth="1"/>
    <col min="6152" max="6152" width="13.75" style="385" customWidth="1"/>
    <col min="6153" max="6153" width="9.875" style="385" customWidth="1"/>
    <col min="6154" max="6154" width="13.5" style="385" customWidth="1"/>
    <col min="6155" max="6156" width="10.625" style="385" customWidth="1"/>
    <col min="6157" max="6157" width="12.625" style="385" customWidth="1"/>
    <col min="6158" max="6158" width="3.625" style="385" customWidth="1"/>
    <col min="6159" max="6400" width="9" style="385"/>
    <col min="6401" max="6401" width="3" style="385" customWidth="1"/>
    <col min="6402" max="6402" width="23.625" style="385" customWidth="1"/>
    <col min="6403" max="6403" width="11.125" style="385" customWidth="1"/>
    <col min="6404" max="6404" width="13.75" style="385" customWidth="1"/>
    <col min="6405" max="6405" width="11.25" style="385" customWidth="1"/>
    <col min="6406" max="6406" width="12.5" style="385" customWidth="1"/>
    <col min="6407" max="6407" width="9.625" style="385" customWidth="1"/>
    <col min="6408" max="6408" width="13.75" style="385" customWidth="1"/>
    <col min="6409" max="6409" width="9.875" style="385" customWidth="1"/>
    <col min="6410" max="6410" width="13.5" style="385" customWidth="1"/>
    <col min="6411" max="6412" width="10.625" style="385" customWidth="1"/>
    <col min="6413" max="6413" width="12.625" style="385" customWidth="1"/>
    <col min="6414" max="6414" width="3.625" style="385" customWidth="1"/>
    <col min="6415" max="6656" width="9" style="385"/>
    <col min="6657" max="6657" width="3" style="385" customWidth="1"/>
    <col min="6658" max="6658" width="23.625" style="385" customWidth="1"/>
    <col min="6659" max="6659" width="11.125" style="385" customWidth="1"/>
    <col min="6660" max="6660" width="13.75" style="385" customWidth="1"/>
    <col min="6661" max="6661" width="11.25" style="385" customWidth="1"/>
    <col min="6662" max="6662" width="12.5" style="385" customWidth="1"/>
    <col min="6663" max="6663" width="9.625" style="385" customWidth="1"/>
    <col min="6664" max="6664" width="13.75" style="385" customWidth="1"/>
    <col min="6665" max="6665" width="9.875" style="385" customWidth="1"/>
    <col min="6666" max="6666" width="13.5" style="385" customWidth="1"/>
    <col min="6667" max="6668" width="10.625" style="385" customWidth="1"/>
    <col min="6669" max="6669" width="12.625" style="385" customWidth="1"/>
    <col min="6670" max="6670" width="3.625" style="385" customWidth="1"/>
    <col min="6671" max="6912" width="9" style="385"/>
    <col min="6913" max="6913" width="3" style="385" customWidth="1"/>
    <col min="6914" max="6914" width="23.625" style="385" customWidth="1"/>
    <col min="6915" max="6915" width="11.125" style="385" customWidth="1"/>
    <col min="6916" max="6916" width="13.75" style="385" customWidth="1"/>
    <col min="6917" max="6917" width="11.25" style="385" customWidth="1"/>
    <col min="6918" max="6918" width="12.5" style="385" customWidth="1"/>
    <col min="6919" max="6919" width="9.625" style="385" customWidth="1"/>
    <col min="6920" max="6920" width="13.75" style="385" customWidth="1"/>
    <col min="6921" max="6921" width="9.875" style="385" customWidth="1"/>
    <col min="6922" max="6922" width="13.5" style="385" customWidth="1"/>
    <col min="6923" max="6924" width="10.625" style="385" customWidth="1"/>
    <col min="6925" max="6925" width="12.625" style="385" customWidth="1"/>
    <col min="6926" max="6926" width="3.625" style="385" customWidth="1"/>
    <col min="6927" max="7168" width="9" style="385"/>
    <col min="7169" max="7169" width="3" style="385" customWidth="1"/>
    <col min="7170" max="7170" width="23.625" style="385" customWidth="1"/>
    <col min="7171" max="7171" width="11.125" style="385" customWidth="1"/>
    <col min="7172" max="7172" width="13.75" style="385" customWidth="1"/>
    <col min="7173" max="7173" width="11.25" style="385" customWidth="1"/>
    <col min="7174" max="7174" width="12.5" style="385" customWidth="1"/>
    <col min="7175" max="7175" width="9.625" style="385" customWidth="1"/>
    <col min="7176" max="7176" width="13.75" style="385" customWidth="1"/>
    <col min="7177" max="7177" width="9.875" style="385" customWidth="1"/>
    <col min="7178" max="7178" width="13.5" style="385" customWidth="1"/>
    <col min="7179" max="7180" width="10.625" style="385" customWidth="1"/>
    <col min="7181" max="7181" width="12.625" style="385" customWidth="1"/>
    <col min="7182" max="7182" width="3.625" style="385" customWidth="1"/>
    <col min="7183" max="7424" width="9" style="385"/>
    <col min="7425" max="7425" width="3" style="385" customWidth="1"/>
    <col min="7426" max="7426" width="23.625" style="385" customWidth="1"/>
    <col min="7427" max="7427" width="11.125" style="385" customWidth="1"/>
    <col min="7428" max="7428" width="13.75" style="385" customWidth="1"/>
    <col min="7429" max="7429" width="11.25" style="385" customWidth="1"/>
    <col min="7430" max="7430" width="12.5" style="385" customWidth="1"/>
    <col min="7431" max="7431" width="9.625" style="385" customWidth="1"/>
    <col min="7432" max="7432" width="13.75" style="385" customWidth="1"/>
    <col min="7433" max="7433" width="9.875" style="385" customWidth="1"/>
    <col min="7434" max="7434" width="13.5" style="385" customWidth="1"/>
    <col min="7435" max="7436" width="10.625" style="385" customWidth="1"/>
    <col min="7437" max="7437" width="12.625" style="385" customWidth="1"/>
    <col min="7438" max="7438" width="3.625" style="385" customWidth="1"/>
    <col min="7439" max="7680" width="9" style="385"/>
    <col min="7681" max="7681" width="3" style="385" customWidth="1"/>
    <col min="7682" max="7682" width="23.625" style="385" customWidth="1"/>
    <col min="7683" max="7683" width="11.125" style="385" customWidth="1"/>
    <col min="7684" max="7684" width="13.75" style="385" customWidth="1"/>
    <col min="7685" max="7685" width="11.25" style="385" customWidth="1"/>
    <col min="7686" max="7686" width="12.5" style="385" customWidth="1"/>
    <col min="7687" max="7687" width="9.625" style="385" customWidth="1"/>
    <col min="7688" max="7688" width="13.75" style="385" customWidth="1"/>
    <col min="7689" max="7689" width="9.875" style="385" customWidth="1"/>
    <col min="7690" max="7690" width="13.5" style="385" customWidth="1"/>
    <col min="7691" max="7692" width="10.625" style="385" customWidth="1"/>
    <col min="7693" max="7693" width="12.625" style="385" customWidth="1"/>
    <col min="7694" max="7694" width="3.625" style="385" customWidth="1"/>
    <col min="7695" max="7936" width="9" style="385"/>
    <col min="7937" max="7937" width="3" style="385" customWidth="1"/>
    <col min="7938" max="7938" width="23.625" style="385" customWidth="1"/>
    <col min="7939" max="7939" width="11.125" style="385" customWidth="1"/>
    <col min="7940" max="7940" width="13.75" style="385" customWidth="1"/>
    <col min="7941" max="7941" width="11.25" style="385" customWidth="1"/>
    <col min="7942" max="7942" width="12.5" style="385" customWidth="1"/>
    <col min="7943" max="7943" width="9.625" style="385" customWidth="1"/>
    <col min="7944" max="7944" width="13.75" style="385" customWidth="1"/>
    <col min="7945" max="7945" width="9.875" style="385" customWidth="1"/>
    <col min="7946" max="7946" width="13.5" style="385" customWidth="1"/>
    <col min="7947" max="7948" width="10.625" style="385" customWidth="1"/>
    <col min="7949" max="7949" width="12.625" style="385" customWidth="1"/>
    <col min="7950" max="7950" width="3.625" style="385" customWidth="1"/>
    <col min="7951" max="8192" width="9" style="385"/>
    <col min="8193" max="8193" width="3" style="385" customWidth="1"/>
    <col min="8194" max="8194" width="23.625" style="385" customWidth="1"/>
    <col min="8195" max="8195" width="11.125" style="385" customWidth="1"/>
    <col min="8196" max="8196" width="13.75" style="385" customWidth="1"/>
    <col min="8197" max="8197" width="11.25" style="385" customWidth="1"/>
    <col min="8198" max="8198" width="12.5" style="385" customWidth="1"/>
    <col min="8199" max="8199" width="9.625" style="385" customWidth="1"/>
    <col min="8200" max="8200" width="13.75" style="385" customWidth="1"/>
    <col min="8201" max="8201" width="9.875" style="385" customWidth="1"/>
    <col min="8202" max="8202" width="13.5" style="385" customWidth="1"/>
    <col min="8203" max="8204" width="10.625" style="385" customWidth="1"/>
    <col min="8205" max="8205" width="12.625" style="385" customWidth="1"/>
    <col min="8206" max="8206" width="3.625" style="385" customWidth="1"/>
    <col min="8207" max="8448" width="9" style="385"/>
    <col min="8449" max="8449" width="3" style="385" customWidth="1"/>
    <col min="8450" max="8450" width="23.625" style="385" customWidth="1"/>
    <col min="8451" max="8451" width="11.125" style="385" customWidth="1"/>
    <col min="8452" max="8452" width="13.75" style="385" customWidth="1"/>
    <col min="8453" max="8453" width="11.25" style="385" customWidth="1"/>
    <col min="8454" max="8454" width="12.5" style="385" customWidth="1"/>
    <col min="8455" max="8455" width="9.625" style="385" customWidth="1"/>
    <col min="8456" max="8456" width="13.75" style="385" customWidth="1"/>
    <col min="8457" max="8457" width="9.875" style="385" customWidth="1"/>
    <col min="8458" max="8458" width="13.5" style="385" customWidth="1"/>
    <col min="8459" max="8460" width="10.625" style="385" customWidth="1"/>
    <col min="8461" max="8461" width="12.625" style="385" customWidth="1"/>
    <col min="8462" max="8462" width="3.625" style="385" customWidth="1"/>
    <col min="8463" max="8704" width="9" style="385"/>
    <col min="8705" max="8705" width="3" style="385" customWidth="1"/>
    <col min="8706" max="8706" width="23.625" style="385" customWidth="1"/>
    <col min="8707" max="8707" width="11.125" style="385" customWidth="1"/>
    <col min="8708" max="8708" width="13.75" style="385" customWidth="1"/>
    <col min="8709" max="8709" width="11.25" style="385" customWidth="1"/>
    <col min="8710" max="8710" width="12.5" style="385" customWidth="1"/>
    <col min="8711" max="8711" width="9.625" style="385" customWidth="1"/>
    <col min="8712" max="8712" width="13.75" style="385" customWidth="1"/>
    <col min="8713" max="8713" width="9.875" style="385" customWidth="1"/>
    <col min="8714" max="8714" width="13.5" style="385" customWidth="1"/>
    <col min="8715" max="8716" width="10.625" style="385" customWidth="1"/>
    <col min="8717" max="8717" width="12.625" style="385" customWidth="1"/>
    <col min="8718" max="8718" width="3.625" style="385" customWidth="1"/>
    <col min="8719" max="8960" width="9" style="385"/>
    <col min="8961" max="8961" width="3" style="385" customWidth="1"/>
    <col min="8962" max="8962" width="23.625" style="385" customWidth="1"/>
    <col min="8963" max="8963" width="11.125" style="385" customWidth="1"/>
    <col min="8964" max="8964" width="13.75" style="385" customWidth="1"/>
    <col min="8965" max="8965" width="11.25" style="385" customWidth="1"/>
    <col min="8966" max="8966" width="12.5" style="385" customWidth="1"/>
    <col min="8967" max="8967" width="9.625" style="385" customWidth="1"/>
    <col min="8968" max="8968" width="13.75" style="385" customWidth="1"/>
    <col min="8969" max="8969" width="9.875" style="385" customWidth="1"/>
    <col min="8970" max="8970" width="13.5" style="385" customWidth="1"/>
    <col min="8971" max="8972" width="10.625" style="385" customWidth="1"/>
    <col min="8973" max="8973" width="12.625" style="385" customWidth="1"/>
    <col min="8974" max="8974" width="3.625" style="385" customWidth="1"/>
    <col min="8975" max="9216" width="9" style="385"/>
    <col min="9217" max="9217" width="3" style="385" customWidth="1"/>
    <col min="9218" max="9218" width="23.625" style="385" customWidth="1"/>
    <col min="9219" max="9219" width="11.125" style="385" customWidth="1"/>
    <col min="9220" max="9220" width="13.75" style="385" customWidth="1"/>
    <col min="9221" max="9221" width="11.25" style="385" customWidth="1"/>
    <col min="9222" max="9222" width="12.5" style="385" customWidth="1"/>
    <col min="9223" max="9223" width="9.625" style="385" customWidth="1"/>
    <col min="9224" max="9224" width="13.75" style="385" customWidth="1"/>
    <col min="9225" max="9225" width="9.875" style="385" customWidth="1"/>
    <col min="9226" max="9226" width="13.5" style="385" customWidth="1"/>
    <col min="9227" max="9228" width="10.625" style="385" customWidth="1"/>
    <col min="9229" max="9229" width="12.625" style="385" customWidth="1"/>
    <col min="9230" max="9230" width="3.625" style="385" customWidth="1"/>
    <col min="9231" max="9472" width="9" style="385"/>
    <col min="9473" max="9473" width="3" style="385" customWidth="1"/>
    <col min="9474" max="9474" width="23.625" style="385" customWidth="1"/>
    <col min="9475" max="9475" width="11.125" style="385" customWidth="1"/>
    <col min="9476" max="9476" width="13.75" style="385" customWidth="1"/>
    <col min="9477" max="9477" width="11.25" style="385" customWidth="1"/>
    <col min="9478" max="9478" width="12.5" style="385" customWidth="1"/>
    <col min="9479" max="9479" width="9.625" style="385" customWidth="1"/>
    <col min="9480" max="9480" width="13.75" style="385" customWidth="1"/>
    <col min="9481" max="9481" width="9.875" style="385" customWidth="1"/>
    <col min="9482" max="9482" width="13.5" style="385" customWidth="1"/>
    <col min="9483" max="9484" width="10.625" style="385" customWidth="1"/>
    <col min="9485" max="9485" width="12.625" style="385" customWidth="1"/>
    <col min="9486" max="9486" width="3.625" style="385" customWidth="1"/>
    <col min="9487" max="9728" width="9" style="385"/>
    <col min="9729" max="9729" width="3" style="385" customWidth="1"/>
    <col min="9730" max="9730" width="23.625" style="385" customWidth="1"/>
    <col min="9731" max="9731" width="11.125" style="385" customWidth="1"/>
    <col min="9732" max="9732" width="13.75" style="385" customWidth="1"/>
    <col min="9733" max="9733" width="11.25" style="385" customWidth="1"/>
    <col min="9734" max="9734" width="12.5" style="385" customWidth="1"/>
    <col min="9735" max="9735" width="9.625" style="385" customWidth="1"/>
    <col min="9736" max="9736" width="13.75" style="385" customWidth="1"/>
    <col min="9737" max="9737" width="9.875" style="385" customWidth="1"/>
    <col min="9738" max="9738" width="13.5" style="385" customWidth="1"/>
    <col min="9739" max="9740" width="10.625" style="385" customWidth="1"/>
    <col min="9741" max="9741" width="12.625" style="385" customWidth="1"/>
    <col min="9742" max="9742" width="3.625" style="385" customWidth="1"/>
    <col min="9743" max="9984" width="9" style="385"/>
    <col min="9985" max="9985" width="3" style="385" customWidth="1"/>
    <col min="9986" max="9986" width="23.625" style="385" customWidth="1"/>
    <col min="9987" max="9987" width="11.125" style="385" customWidth="1"/>
    <col min="9988" max="9988" width="13.75" style="385" customWidth="1"/>
    <col min="9989" max="9989" width="11.25" style="385" customWidth="1"/>
    <col min="9990" max="9990" width="12.5" style="385" customWidth="1"/>
    <col min="9991" max="9991" width="9.625" style="385" customWidth="1"/>
    <col min="9992" max="9992" width="13.75" style="385" customWidth="1"/>
    <col min="9993" max="9993" width="9.875" style="385" customWidth="1"/>
    <col min="9994" max="9994" width="13.5" style="385" customWidth="1"/>
    <col min="9995" max="9996" width="10.625" style="385" customWidth="1"/>
    <col min="9997" max="9997" width="12.625" style="385" customWidth="1"/>
    <col min="9998" max="9998" width="3.625" style="385" customWidth="1"/>
    <col min="9999" max="10240" width="9" style="385"/>
    <col min="10241" max="10241" width="3" style="385" customWidth="1"/>
    <col min="10242" max="10242" width="23.625" style="385" customWidth="1"/>
    <col min="10243" max="10243" width="11.125" style="385" customWidth="1"/>
    <col min="10244" max="10244" width="13.75" style="385" customWidth="1"/>
    <col min="10245" max="10245" width="11.25" style="385" customWidth="1"/>
    <col min="10246" max="10246" width="12.5" style="385" customWidth="1"/>
    <col min="10247" max="10247" width="9.625" style="385" customWidth="1"/>
    <col min="10248" max="10248" width="13.75" style="385" customWidth="1"/>
    <col min="10249" max="10249" width="9.875" style="385" customWidth="1"/>
    <col min="10250" max="10250" width="13.5" style="385" customWidth="1"/>
    <col min="10251" max="10252" width="10.625" style="385" customWidth="1"/>
    <col min="10253" max="10253" width="12.625" style="385" customWidth="1"/>
    <col min="10254" max="10254" width="3.625" style="385" customWidth="1"/>
    <col min="10255" max="10496" width="9" style="385"/>
    <col min="10497" max="10497" width="3" style="385" customWidth="1"/>
    <col min="10498" max="10498" width="23.625" style="385" customWidth="1"/>
    <col min="10499" max="10499" width="11.125" style="385" customWidth="1"/>
    <col min="10500" max="10500" width="13.75" style="385" customWidth="1"/>
    <col min="10501" max="10501" width="11.25" style="385" customWidth="1"/>
    <col min="10502" max="10502" width="12.5" style="385" customWidth="1"/>
    <col min="10503" max="10503" width="9.625" style="385" customWidth="1"/>
    <col min="10504" max="10504" width="13.75" style="385" customWidth="1"/>
    <col min="10505" max="10505" width="9.875" style="385" customWidth="1"/>
    <col min="10506" max="10506" width="13.5" style="385" customWidth="1"/>
    <col min="10507" max="10508" width="10.625" style="385" customWidth="1"/>
    <col min="10509" max="10509" width="12.625" style="385" customWidth="1"/>
    <col min="10510" max="10510" width="3.625" style="385" customWidth="1"/>
    <col min="10511" max="10752" width="9" style="385"/>
    <col min="10753" max="10753" width="3" style="385" customWidth="1"/>
    <col min="10754" max="10754" width="23.625" style="385" customWidth="1"/>
    <col min="10755" max="10755" width="11.125" style="385" customWidth="1"/>
    <col min="10756" max="10756" width="13.75" style="385" customWidth="1"/>
    <col min="10757" max="10757" width="11.25" style="385" customWidth="1"/>
    <col min="10758" max="10758" width="12.5" style="385" customWidth="1"/>
    <col min="10759" max="10759" width="9.625" style="385" customWidth="1"/>
    <col min="10760" max="10760" width="13.75" style="385" customWidth="1"/>
    <col min="10761" max="10761" width="9.875" style="385" customWidth="1"/>
    <col min="10762" max="10762" width="13.5" style="385" customWidth="1"/>
    <col min="10763" max="10764" width="10.625" style="385" customWidth="1"/>
    <col min="10765" max="10765" width="12.625" style="385" customWidth="1"/>
    <col min="10766" max="10766" width="3.625" style="385" customWidth="1"/>
    <col min="10767" max="11008" width="9" style="385"/>
    <col min="11009" max="11009" width="3" style="385" customWidth="1"/>
    <col min="11010" max="11010" width="23.625" style="385" customWidth="1"/>
    <col min="11011" max="11011" width="11.125" style="385" customWidth="1"/>
    <col min="11012" max="11012" width="13.75" style="385" customWidth="1"/>
    <col min="11013" max="11013" width="11.25" style="385" customWidth="1"/>
    <col min="11014" max="11014" width="12.5" style="385" customWidth="1"/>
    <col min="11015" max="11015" width="9.625" style="385" customWidth="1"/>
    <col min="11016" max="11016" width="13.75" style="385" customWidth="1"/>
    <col min="11017" max="11017" width="9.875" style="385" customWidth="1"/>
    <col min="11018" max="11018" width="13.5" style="385" customWidth="1"/>
    <col min="11019" max="11020" width="10.625" style="385" customWidth="1"/>
    <col min="11021" max="11021" width="12.625" style="385" customWidth="1"/>
    <col min="11022" max="11022" width="3.625" style="385" customWidth="1"/>
    <col min="11023" max="11264" width="9" style="385"/>
    <col min="11265" max="11265" width="3" style="385" customWidth="1"/>
    <col min="11266" max="11266" width="23.625" style="385" customWidth="1"/>
    <col min="11267" max="11267" width="11.125" style="385" customWidth="1"/>
    <col min="11268" max="11268" width="13.75" style="385" customWidth="1"/>
    <col min="11269" max="11269" width="11.25" style="385" customWidth="1"/>
    <col min="11270" max="11270" width="12.5" style="385" customWidth="1"/>
    <col min="11271" max="11271" width="9.625" style="385" customWidth="1"/>
    <col min="11272" max="11272" width="13.75" style="385" customWidth="1"/>
    <col min="11273" max="11273" width="9.875" style="385" customWidth="1"/>
    <col min="11274" max="11274" width="13.5" style="385" customWidth="1"/>
    <col min="11275" max="11276" width="10.625" style="385" customWidth="1"/>
    <col min="11277" max="11277" width="12.625" style="385" customWidth="1"/>
    <col min="11278" max="11278" width="3.625" style="385" customWidth="1"/>
    <col min="11279" max="11520" width="9" style="385"/>
    <col min="11521" max="11521" width="3" style="385" customWidth="1"/>
    <col min="11522" max="11522" width="23.625" style="385" customWidth="1"/>
    <col min="11523" max="11523" width="11.125" style="385" customWidth="1"/>
    <col min="11524" max="11524" width="13.75" style="385" customWidth="1"/>
    <col min="11525" max="11525" width="11.25" style="385" customWidth="1"/>
    <col min="11526" max="11526" width="12.5" style="385" customWidth="1"/>
    <col min="11527" max="11527" width="9.625" style="385" customWidth="1"/>
    <col min="11528" max="11528" width="13.75" style="385" customWidth="1"/>
    <col min="11529" max="11529" width="9.875" style="385" customWidth="1"/>
    <col min="11530" max="11530" width="13.5" style="385" customWidth="1"/>
    <col min="11531" max="11532" width="10.625" style="385" customWidth="1"/>
    <col min="11533" max="11533" width="12.625" style="385" customWidth="1"/>
    <col min="11534" max="11534" width="3.625" style="385" customWidth="1"/>
    <col min="11535" max="11776" width="9" style="385"/>
    <col min="11777" max="11777" width="3" style="385" customWidth="1"/>
    <col min="11778" max="11778" width="23.625" style="385" customWidth="1"/>
    <col min="11779" max="11779" width="11.125" style="385" customWidth="1"/>
    <col min="11780" max="11780" width="13.75" style="385" customWidth="1"/>
    <col min="11781" max="11781" width="11.25" style="385" customWidth="1"/>
    <col min="11782" max="11782" width="12.5" style="385" customWidth="1"/>
    <col min="11783" max="11783" width="9.625" style="385" customWidth="1"/>
    <col min="11784" max="11784" width="13.75" style="385" customWidth="1"/>
    <col min="11785" max="11785" width="9.875" style="385" customWidth="1"/>
    <col min="11786" max="11786" width="13.5" style="385" customWidth="1"/>
    <col min="11787" max="11788" width="10.625" style="385" customWidth="1"/>
    <col min="11789" max="11789" width="12.625" style="385" customWidth="1"/>
    <col min="11790" max="11790" width="3.625" style="385" customWidth="1"/>
    <col min="11791" max="12032" width="9" style="385"/>
    <col min="12033" max="12033" width="3" style="385" customWidth="1"/>
    <col min="12034" max="12034" width="23.625" style="385" customWidth="1"/>
    <col min="12035" max="12035" width="11.125" style="385" customWidth="1"/>
    <col min="12036" max="12036" width="13.75" style="385" customWidth="1"/>
    <col min="12037" max="12037" width="11.25" style="385" customWidth="1"/>
    <col min="12038" max="12038" width="12.5" style="385" customWidth="1"/>
    <col min="12039" max="12039" width="9.625" style="385" customWidth="1"/>
    <col min="12040" max="12040" width="13.75" style="385" customWidth="1"/>
    <col min="12041" max="12041" width="9.875" style="385" customWidth="1"/>
    <col min="12042" max="12042" width="13.5" style="385" customWidth="1"/>
    <col min="12043" max="12044" width="10.625" style="385" customWidth="1"/>
    <col min="12045" max="12045" width="12.625" style="385" customWidth="1"/>
    <col min="12046" max="12046" width="3.625" style="385" customWidth="1"/>
    <col min="12047" max="12288" width="9" style="385"/>
    <col min="12289" max="12289" width="3" style="385" customWidth="1"/>
    <col min="12290" max="12290" width="23.625" style="385" customWidth="1"/>
    <col min="12291" max="12291" width="11.125" style="385" customWidth="1"/>
    <col min="12292" max="12292" width="13.75" style="385" customWidth="1"/>
    <col min="12293" max="12293" width="11.25" style="385" customWidth="1"/>
    <col min="12294" max="12294" width="12.5" style="385" customWidth="1"/>
    <col min="12295" max="12295" width="9.625" style="385" customWidth="1"/>
    <col min="12296" max="12296" width="13.75" style="385" customWidth="1"/>
    <col min="12297" max="12297" width="9.875" style="385" customWidth="1"/>
    <col min="12298" max="12298" width="13.5" style="385" customWidth="1"/>
    <col min="12299" max="12300" width="10.625" style="385" customWidth="1"/>
    <col min="12301" max="12301" width="12.625" style="385" customWidth="1"/>
    <col min="12302" max="12302" width="3.625" style="385" customWidth="1"/>
    <col min="12303" max="12544" width="9" style="385"/>
    <col min="12545" max="12545" width="3" style="385" customWidth="1"/>
    <col min="12546" max="12546" width="23.625" style="385" customWidth="1"/>
    <col min="12547" max="12547" width="11.125" style="385" customWidth="1"/>
    <col min="12548" max="12548" width="13.75" style="385" customWidth="1"/>
    <col min="12549" max="12549" width="11.25" style="385" customWidth="1"/>
    <col min="12550" max="12550" width="12.5" style="385" customWidth="1"/>
    <col min="12551" max="12551" width="9.625" style="385" customWidth="1"/>
    <col min="12552" max="12552" width="13.75" style="385" customWidth="1"/>
    <col min="12553" max="12553" width="9.875" style="385" customWidth="1"/>
    <col min="12554" max="12554" width="13.5" style="385" customWidth="1"/>
    <col min="12555" max="12556" width="10.625" style="385" customWidth="1"/>
    <col min="12557" max="12557" width="12.625" style="385" customWidth="1"/>
    <col min="12558" max="12558" width="3.625" style="385" customWidth="1"/>
    <col min="12559" max="12800" width="9" style="385"/>
    <col min="12801" max="12801" width="3" style="385" customWidth="1"/>
    <col min="12802" max="12802" width="23.625" style="385" customWidth="1"/>
    <col min="12803" max="12803" width="11.125" style="385" customWidth="1"/>
    <col min="12804" max="12804" width="13.75" style="385" customWidth="1"/>
    <col min="12805" max="12805" width="11.25" style="385" customWidth="1"/>
    <col min="12806" max="12806" width="12.5" style="385" customWidth="1"/>
    <col min="12807" max="12807" width="9.625" style="385" customWidth="1"/>
    <col min="12808" max="12808" width="13.75" style="385" customWidth="1"/>
    <col min="12809" max="12809" width="9.875" style="385" customWidth="1"/>
    <col min="12810" max="12810" width="13.5" style="385" customWidth="1"/>
    <col min="12811" max="12812" width="10.625" style="385" customWidth="1"/>
    <col min="12813" max="12813" width="12.625" style="385" customWidth="1"/>
    <col min="12814" max="12814" width="3.625" style="385" customWidth="1"/>
    <col min="12815" max="13056" width="9" style="385"/>
    <col min="13057" max="13057" width="3" style="385" customWidth="1"/>
    <col min="13058" max="13058" width="23.625" style="385" customWidth="1"/>
    <col min="13059" max="13059" width="11.125" style="385" customWidth="1"/>
    <col min="13060" max="13060" width="13.75" style="385" customWidth="1"/>
    <col min="13061" max="13061" width="11.25" style="385" customWidth="1"/>
    <col min="13062" max="13062" width="12.5" style="385" customWidth="1"/>
    <col min="13063" max="13063" width="9.625" style="385" customWidth="1"/>
    <col min="13064" max="13064" width="13.75" style="385" customWidth="1"/>
    <col min="13065" max="13065" width="9.875" style="385" customWidth="1"/>
    <col min="13066" max="13066" width="13.5" style="385" customWidth="1"/>
    <col min="13067" max="13068" width="10.625" style="385" customWidth="1"/>
    <col min="13069" max="13069" width="12.625" style="385" customWidth="1"/>
    <col min="13070" max="13070" width="3.625" style="385" customWidth="1"/>
    <col min="13071" max="13312" width="9" style="385"/>
    <col min="13313" max="13313" width="3" style="385" customWidth="1"/>
    <col min="13314" max="13314" width="23.625" style="385" customWidth="1"/>
    <col min="13315" max="13315" width="11.125" style="385" customWidth="1"/>
    <col min="13316" max="13316" width="13.75" style="385" customWidth="1"/>
    <col min="13317" max="13317" width="11.25" style="385" customWidth="1"/>
    <col min="13318" max="13318" width="12.5" style="385" customWidth="1"/>
    <col min="13319" max="13319" width="9.625" style="385" customWidth="1"/>
    <col min="13320" max="13320" width="13.75" style="385" customWidth="1"/>
    <col min="13321" max="13321" width="9.875" style="385" customWidth="1"/>
    <col min="13322" max="13322" width="13.5" style="385" customWidth="1"/>
    <col min="13323" max="13324" width="10.625" style="385" customWidth="1"/>
    <col min="13325" max="13325" width="12.625" style="385" customWidth="1"/>
    <col min="13326" max="13326" width="3.625" style="385" customWidth="1"/>
    <col min="13327" max="13568" width="9" style="385"/>
    <col min="13569" max="13569" width="3" style="385" customWidth="1"/>
    <col min="13570" max="13570" width="23.625" style="385" customWidth="1"/>
    <col min="13571" max="13571" width="11.125" style="385" customWidth="1"/>
    <col min="13572" max="13572" width="13.75" style="385" customWidth="1"/>
    <col min="13573" max="13573" width="11.25" style="385" customWidth="1"/>
    <col min="13574" max="13574" width="12.5" style="385" customWidth="1"/>
    <col min="13575" max="13575" width="9.625" style="385" customWidth="1"/>
    <col min="13576" max="13576" width="13.75" style="385" customWidth="1"/>
    <col min="13577" max="13577" width="9.875" style="385" customWidth="1"/>
    <col min="13578" max="13578" width="13.5" style="385" customWidth="1"/>
    <col min="13579" max="13580" width="10.625" style="385" customWidth="1"/>
    <col min="13581" max="13581" width="12.625" style="385" customWidth="1"/>
    <col min="13582" max="13582" width="3.625" style="385" customWidth="1"/>
    <col min="13583" max="13824" width="9" style="385"/>
    <col min="13825" max="13825" width="3" style="385" customWidth="1"/>
    <col min="13826" max="13826" width="23.625" style="385" customWidth="1"/>
    <col min="13827" max="13827" width="11.125" style="385" customWidth="1"/>
    <col min="13828" max="13828" width="13.75" style="385" customWidth="1"/>
    <col min="13829" max="13829" width="11.25" style="385" customWidth="1"/>
    <col min="13830" max="13830" width="12.5" style="385" customWidth="1"/>
    <col min="13831" max="13831" width="9.625" style="385" customWidth="1"/>
    <col min="13832" max="13832" width="13.75" style="385" customWidth="1"/>
    <col min="13833" max="13833" width="9.875" style="385" customWidth="1"/>
    <col min="13834" max="13834" width="13.5" style="385" customWidth="1"/>
    <col min="13835" max="13836" width="10.625" style="385" customWidth="1"/>
    <col min="13837" max="13837" width="12.625" style="385" customWidth="1"/>
    <col min="13838" max="13838" width="3.625" style="385" customWidth="1"/>
    <col min="13839" max="14080" width="9" style="385"/>
    <col min="14081" max="14081" width="3" style="385" customWidth="1"/>
    <col min="14082" max="14082" width="23.625" style="385" customWidth="1"/>
    <col min="14083" max="14083" width="11.125" style="385" customWidth="1"/>
    <col min="14084" max="14084" width="13.75" style="385" customWidth="1"/>
    <col min="14085" max="14085" width="11.25" style="385" customWidth="1"/>
    <col min="14086" max="14086" width="12.5" style="385" customWidth="1"/>
    <col min="14087" max="14087" width="9.625" style="385" customWidth="1"/>
    <col min="14088" max="14088" width="13.75" style="385" customWidth="1"/>
    <col min="14089" max="14089" width="9.875" style="385" customWidth="1"/>
    <col min="14090" max="14090" width="13.5" style="385" customWidth="1"/>
    <col min="14091" max="14092" width="10.625" style="385" customWidth="1"/>
    <col min="14093" max="14093" width="12.625" style="385" customWidth="1"/>
    <col min="14094" max="14094" width="3.625" style="385" customWidth="1"/>
    <col min="14095" max="14336" width="9" style="385"/>
    <col min="14337" max="14337" width="3" style="385" customWidth="1"/>
    <col min="14338" max="14338" width="23.625" style="385" customWidth="1"/>
    <col min="14339" max="14339" width="11.125" style="385" customWidth="1"/>
    <col min="14340" max="14340" width="13.75" style="385" customWidth="1"/>
    <col min="14341" max="14341" width="11.25" style="385" customWidth="1"/>
    <col min="14342" max="14342" width="12.5" style="385" customWidth="1"/>
    <col min="14343" max="14343" width="9.625" style="385" customWidth="1"/>
    <col min="14344" max="14344" width="13.75" style="385" customWidth="1"/>
    <col min="14345" max="14345" width="9.875" style="385" customWidth="1"/>
    <col min="14346" max="14346" width="13.5" style="385" customWidth="1"/>
    <col min="14347" max="14348" width="10.625" style="385" customWidth="1"/>
    <col min="14349" max="14349" width="12.625" style="385" customWidth="1"/>
    <col min="14350" max="14350" width="3.625" style="385" customWidth="1"/>
    <col min="14351" max="14592" width="9" style="385"/>
    <col min="14593" max="14593" width="3" style="385" customWidth="1"/>
    <col min="14594" max="14594" width="23.625" style="385" customWidth="1"/>
    <col min="14595" max="14595" width="11.125" style="385" customWidth="1"/>
    <col min="14596" max="14596" width="13.75" style="385" customWidth="1"/>
    <col min="14597" max="14597" width="11.25" style="385" customWidth="1"/>
    <col min="14598" max="14598" width="12.5" style="385" customWidth="1"/>
    <col min="14599" max="14599" width="9.625" style="385" customWidth="1"/>
    <col min="14600" max="14600" width="13.75" style="385" customWidth="1"/>
    <col min="14601" max="14601" width="9.875" style="385" customWidth="1"/>
    <col min="14602" max="14602" width="13.5" style="385" customWidth="1"/>
    <col min="14603" max="14604" width="10.625" style="385" customWidth="1"/>
    <col min="14605" max="14605" width="12.625" style="385" customWidth="1"/>
    <col min="14606" max="14606" width="3.625" style="385" customWidth="1"/>
    <col min="14607" max="14848" width="9" style="385"/>
    <col min="14849" max="14849" width="3" style="385" customWidth="1"/>
    <col min="14850" max="14850" width="23.625" style="385" customWidth="1"/>
    <col min="14851" max="14851" width="11.125" style="385" customWidth="1"/>
    <col min="14852" max="14852" width="13.75" style="385" customWidth="1"/>
    <col min="14853" max="14853" width="11.25" style="385" customWidth="1"/>
    <col min="14854" max="14854" width="12.5" style="385" customWidth="1"/>
    <col min="14855" max="14855" width="9.625" style="385" customWidth="1"/>
    <col min="14856" max="14856" width="13.75" style="385" customWidth="1"/>
    <col min="14857" max="14857" width="9.875" style="385" customWidth="1"/>
    <col min="14858" max="14858" width="13.5" style="385" customWidth="1"/>
    <col min="14859" max="14860" width="10.625" style="385" customWidth="1"/>
    <col min="14861" max="14861" width="12.625" style="385" customWidth="1"/>
    <col min="14862" max="14862" width="3.625" style="385" customWidth="1"/>
    <col min="14863" max="15104" width="9" style="385"/>
    <col min="15105" max="15105" width="3" style="385" customWidth="1"/>
    <col min="15106" max="15106" width="23.625" style="385" customWidth="1"/>
    <col min="15107" max="15107" width="11.125" style="385" customWidth="1"/>
    <col min="15108" max="15108" width="13.75" style="385" customWidth="1"/>
    <col min="15109" max="15109" width="11.25" style="385" customWidth="1"/>
    <col min="15110" max="15110" width="12.5" style="385" customWidth="1"/>
    <col min="15111" max="15111" width="9.625" style="385" customWidth="1"/>
    <col min="15112" max="15112" width="13.75" style="385" customWidth="1"/>
    <col min="15113" max="15113" width="9.875" style="385" customWidth="1"/>
    <col min="15114" max="15114" width="13.5" style="385" customWidth="1"/>
    <col min="15115" max="15116" width="10.625" style="385" customWidth="1"/>
    <col min="15117" max="15117" width="12.625" style="385" customWidth="1"/>
    <col min="15118" max="15118" width="3.625" style="385" customWidth="1"/>
    <col min="15119" max="15360" width="9" style="385"/>
    <col min="15361" max="15361" width="3" style="385" customWidth="1"/>
    <col min="15362" max="15362" width="23.625" style="385" customWidth="1"/>
    <col min="15363" max="15363" width="11.125" style="385" customWidth="1"/>
    <col min="15364" max="15364" width="13.75" style="385" customWidth="1"/>
    <col min="15365" max="15365" width="11.25" style="385" customWidth="1"/>
    <col min="15366" max="15366" width="12.5" style="385" customWidth="1"/>
    <col min="15367" max="15367" width="9.625" style="385" customWidth="1"/>
    <col min="15368" max="15368" width="13.75" style="385" customWidth="1"/>
    <col min="15369" max="15369" width="9.875" style="385" customWidth="1"/>
    <col min="15370" max="15370" width="13.5" style="385" customWidth="1"/>
    <col min="15371" max="15372" width="10.625" style="385" customWidth="1"/>
    <col min="15373" max="15373" width="12.625" style="385" customWidth="1"/>
    <col min="15374" max="15374" width="3.625" style="385" customWidth="1"/>
    <col min="15375" max="15616" width="9" style="385"/>
    <col min="15617" max="15617" width="3" style="385" customWidth="1"/>
    <col min="15618" max="15618" width="23.625" style="385" customWidth="1"/>
    <col min="15619" max="15619" width="11.125" style="385" customWidth="1"/>
    <col min="15620" max="15620" width="13.75" style="385" customWidth="1"/>
    <col min="15621" max="15621" width="11.25" style="385" customWidth="1"/>
    <col min="15622" max="15622" width="12.5" style="385" customWidth="1"/>
    <col min="15623" max="15623" width="9.625" style="385" customWidth="1"/>
    <col min="15624" max="15624" width="13.75" style="385" customWidth="1"/>
    <col min="15625" max="15625" width="9.875" style="385" customWidth="1"/>
    <col min="15626" max="15626" width="13.5" style="385" customWidth="1"/>
    <col min="15627" max="15628" width="10.625" style="385" customWidth="1"/>
    <col min="15629" max="15629" width="12.625" style="385" customWidth="1"/>
    <col min="15630" max="15630" width="3.625" style="385" customWidth="1"/>
    <col min="15631" max="15872" width="9" style="385"/>
    <col min="15873" max="15873" width="3" style="385" customWidth="1"/>
    <col min="15874" max="15874" width="23.625" style="385" customWidth="1"/>
    <col min="15875" max="15875" width="11.125" style="385" customWidth="1"/>
    <col min="15876" max="15876" width="13.75" style="385" customWidth="1"/>
    <col min="15877" max="15877" width="11.25" style="385" customWidth="1"/>
    <col min="15878" max="15878" width="12.5" style="385" customWidth="1"/>
    <col min="15879" max="15879" width="9.625" style="385" customWidth="1"/>
    <col min="15880" max="15880" width="13.75" style="385" customWidth="1"/>
    <col min="15881" max="15881" width="9.875" style="385" customWidth="1"/>
    <col min="15882" max="15882" width="13.5" style="385" customWidth="1"/>
    <col min="15883" max="15884" width="10.625" style="385" customWidth="1"/>
    <col min="15885" max="15885" width="12.625" style="385" customWidth="1"/>
    <col min="15886" max="15886" width="3.625" style="385" customWidth="1"/>
    <col min="15887" max="16128" width="9" style="385"/>
    <col min="16129" max="16129" width="3" style="385" customWidth="1"/>
    <col min="16130" max="16130" width="23.625" style="385" customWidth="1"/>
    <col min="16131" max="16131" width="11.125" style="385" customWidth="1"/>
    <col min="16132" max="16132" width="13.75" style="385" customWidth="1"/>
    <col min="16133" max="16133" width="11.25" style="385" customWidth="1"/>
    <col min="16134" max="16134" width="12.5" style="385" customWidth="1"/>
    <col min="16135" max="16135" width="9.625" style="385" customWidth="1"/>
    <col min="16136" max="16136" width="13.75" style="385" customWidth="1"/>
    <col min="16137" max="16137" width="9.875" style="385" customWidth="1"/>
    <col min="16138" max="16138" width="13.5" style="385" customWidth="1"/>
    <col min="16139" max="16140" width="10.625" style="385" customWidth="1"/>
    <col min="16141" max="16141" width="12.625" style="385" customWidth="1"/>
    <col min="16142" max="16142" width="3.625" style="385" customWidth="1"/>
    <col min="16143" max="16384" width="9" style="385"/>
  </cols>
  <sheetData>
    <row r="1" spans="2:13" ht="15.75" thickBot="1"/>
    <row r="2" spans="2:13" ht="15.75" thickBot="1">
      <c r="B2" s="627" t="s">
        <v>255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9"/>
    </row>
    <row r="3" spans="2:13" ht="15.75" thickBot="1"/>
    <row r="4" spans="2:13" ht="45.75" thickBot="1">
      <c r="B4" s="481">
        <v>2000</v>
      </c>
      <c r="C4" s="387" t="s">
        <v>43</v>
      </c>
      <c r="D4" s="388" t="s">
        <v>210</v>
      </c>
      <c r="E4" s="389" t="s">
        <v>211</v>
      </c>
      <c r="F4" s="390" t="s">
        <v>212</v>
      </c>
      <c r="G4" s="389" t="s">
        <v>213</v>
      </c>
      <c r="H4" s="390" t="s">
        <v>214</v>
      </c>
      <c r="I4" s="389" t="s">
        <v>215</v>
      </c>
      <c r="J4" s="390" t="s">
        <v>216</v>
      </c>
      <c r="K4" s="389" t="s">
        <v>249</v>
      </c>
      <c r="L4" s="391" t="s">
        <v>218</v>
      </c>
      <c r="M4" s="386" t="s">
        <v>250</v>
      </c>
    </row>
    <row r="5" spans="2:13">
      <c r="B5" s="392" t="s">
        <v>122</v>
      </c>
      <c r="C5" s="393">
        <f>'Ruch lokalny'!C10</f>
        <v>1825.4199180229466</v>
      </c>
      <c r="D5" s="394">
        <v>3.5000000000000003E-2</v>
      </c>
      <c r="E5" s="395">
        <f>C5*D5*11668.67/1000000</f>
        <v>0.74550779221928865</v>
      </c>
      <c r="F5" s="396">
        <v>0.67800000000000005</v>
      </c>
      <c r="G5" s="397">
        <f>43052*F5*11668.67/1000000</f>
        <v>340.59979580952</v>
      </c>
      <c r="H5" s="396">
        <v>3.0870000000000002</v>
      </c>
      <c r="I5" s="397">
        <f>C5*H5*11668.67/1000000</f>
        <v>65.753787273741253</v>
      </c>
      <c r="J5" s="394">
        <v>1.4E-2</v>
      </c>
      <c r="K5" s="488">
        <f>C5*J5*11668.67</f>
        <v>298203.11688771547</v>
      </c>
      <c r="L5" s="489">
        <v>1.2999999999999999E-2</v>
      </c>
      <c r="M5" s="488">
        <f>C5*L5*11668.67</f>
        <v>276902.89425287861</v>
      </c>
    </row>
    <row r="6" spans="2:13">
      <c r="B6" s="398" t="s">
        <v>34</v>
      </c>
      <c r="C6" s="399">
        <f>'Ruch lokalny'!C13</f>
        <v>312.25279116431426</v>
      </c>
      <c r="D6" s="400">
        <v>0.48199999999999998</v>
      </c>
      <c r="E6" s="401">
        <f>C6*16277.67*D6/1000000</f>
        <v>2.4498844835350821</v>
      </c>
      <c r="F6" s="402">
        <v>5.9870000000000001</v>
      </c>
      <c r="G6" s="401">
        <f>4111*16277.67*F6/1000000</f>
        <v>400.63508070219001</v>
      </c>
      <c r="H6" s="402">
        <v>2.7469999999999999</v>
      </c>
      <c r="I6" s="401">
        <f>C6*16277.67*H6/1000000</f>
        <v>13.962308456993508</v>
      </c>
      <c r="J6" s="400">
        <v>0.55800000000000005</v>
      </c>
      <c r="K6" s="490">
        <f>C6*16277.67*J6</f>
        <v>2836173.3232626058</v>
      </c>
      <c r="L6" s="491">
        <v>0.502</v>
      </c>
      <c r="M6" s="490">
        <f>C6*16277.67*L6</f>
        <v>2551539.4413581146</v>
      </c>
    </row>
    <row r="7" spans="2:13" ht="15.75" thickBot="1">
      <c r="B7" s="403" t="s">
        <v>48</v>
      </c>
      <c r="C7" s="404">
        <f>'Ruch lokalny'!C16</f>
        <v>14.956284621585004</v>
      </c>
      <c r="D7" s="405">
        <v>0.78569999999999995</v>
      </c>
      <c r="E7" s="406">
        <f>C7*D7*16277.67/1000000</f>
        <v>0.19128138784039231</v>
      </c>
      <c r="F7" s="407">
        <v>13.529</v>
      </c>
      <c r="G7" s="406">
        <f>870*F7*16277.67/1000000</f>
        <v>191.5919197641</v>
      </c>
      <c r="H7" s="407">
        <v>5.6040000000000001</v>
      </c>
      <c r="I7" s="406">
        <f>C7*H7*16277.67/1000000</f>
        <v>1.3643132206409043</v>
      </c>
      <c r="J7" s="405">
        <v>0.61099999999999999</v>
      </c>
      <c r="K7" s="492">
        <f>C7*J7*16277.67</f>
        <v>148750.06741819991</v>
      </c>
      <c r="L7" s="493">
        <v>0.55000000000000004</v>
      </c>
      <c r="M7" s="492">
        <f>C7*L7*16277.67</f>
        <v>133899.40602292959</v>
      </c>
    </row>
    <row r="8" spans="2:13" ht="15.75" thickBot="1">
      <c r="C8" s="408" t="s">
        <v>12</v>
      </c>
      <c r="D8" s="409"/>
      <c r="E8" s="410">
        <f>SUM(E5:E7)</f>
        <v>3.3866736635947632</v>
      </c>
      <c r="F8" s="409"/>
      <c r="G8" s="411">
        <f>G5+G6+G7</f>
        <v>932.82679627581001</v>
      </c>
      <c r="H8" s="409"/>
      <c r="I8" s="411">
        <f>I5+I6+I7</f>
        <v>81.080408951375674</v>
      </c>
      <c r="J8" s="409"/>
      <c r="K8" s="494">
        <f>K5+K6+K7</f>
        <v>3283126.5075685214</v>
      </c>
      <c r="L8" s="495"/>
      <c r="M8" s="494">
        <f>M5+M6+M7</f>
        <v>2962341.7416339228</v>
      </c>
    </row>
    <row r="10" spans="2:13" ht="15.75" thickBot="1"/>
    <row r="11" spans="2:13" ht="45.75" thickBot="1">
      <c r="B11" s="386">
        <v>2013</v>
      </c>
      <c r="C11" s="387" t="s">
        <v>43</v>
      </c>
      <c r="D11" s="388" t="s">
        <v>210</v>
      </c>
      <c r="E11" s="389" t="s">
        <v>211</v>
      </c>
      <c r="F11" s="390" t="s">
        <v>212</v>
      </c>
      <c r="G11" s="389" t="s">
        <v>213</v>
      </c>
      <c r="H11" s="390" t="s">
        <v>214</v>
      </c>
      <c r="I11" s="389" t="s">
        <v>215</v>
      </c>
      <c r="J11" s="390" t="s">
        <v>216</v>
      </c>
      <c r="K11" s="389" t="s">
        <v>217</v>
      </c>
      <c r="L11" s="391" t="s">
        <v>218</v>
      </c>
      <c r="M11" s="386" t="s">
        <v>219</v>
      </c>
    </row>
    <row r="12" spans="2:13">
      <c r="B12" s="392" t="s">
        <v>122</v>
      </c>
      <c r="C12" s="393">
        <f>'Ruch lokalny'!C38</f>
        <v>3164.2066939009533</v>
      </c>
      <c r="D12" s="394">
        <v>3.5000000000000003E-2</v>
      </c>
      <c r="E12" s="395">
        <f>C12*D12*11668.67/1000000</f>
        <v>1.2922729303022435</v>
      </c>
      <c r="F12" s="396">
        <v>0.67800000000000005</v>
      </c>
      <c r="G12" s="397">
        <f>43052*F12*11668.67/1000000</f>
        <v>340.59979580952</v>
      </c>
      <c r="H12" s="396">
        <v>3.0870000000000002</v>
      </c>
      <c r="I12" s="397">
        <f>C12*H12*11668.67/1000000</f>
        <v>113.97847245265787</v>
      </c>
      <c r="J12" s="394">
        <v>1.4E-2</v>
      </c>
      <c r="K12" s="397">
        <f>C12*J12*11668.67</f>
        <v>516909.17212089733</v>
      </c>
      <c r="L12" s="396">
        <v>1.2999999999999999E-2</v>
      </c>
      <c r="M12" s="397">
        <f>C12*L12*11668.67</f>
        <v>479987.08839797607</v>
      </c>
    </row>
    <row r="13" spans="2:13">
      <c r="B13" s="398" t="s">
        <v>34</v>
      </c>
      <c r="C13" s="399">
        <f>'Ruch lokalny'!C41</f>
        <v>519.98666953343366</v>
      </c>
      <c r="D13" s="400">
        <v>0.48199999999999998</v>
      </c>
      <c r="E13" s="401">
        <f>C13*16277.67*D13/1000000</f>
        <v>4.0797306201329864</v>
      </c>
      <c r="F13" s="402">
        <v>5.9870000000000001</v>
      </c>
      <c r="G13" s="401">
        <f>4111*16277.67*F13/1000000</f>
        <v>400.63508070219001</v>
      </c>
      <c r="H13" s="402">
        <v>2.7469999999999999</v>
      </c>
      <c r="I13" s="401">
        <f>C13*16277.67*H13/1000000</f>
        <v>23.251078866193595</v>
      </c>
      <c r="J13" s="400">
        <v>0.55800000000000005</v>
      </c>
      <c r="K13" s="401">
        <f>C13*16277.67*J13</f>
        <v>4723007.6473738728</v>
      </c>
      <c r="L13" s="402">
        <v>0.502</v>
      </c>
      <c r="M13" s="401">
        <f>C13*16277.67*L13</f>
        <v>4249014.0483542727</v>
      </c>
    </row>
    <row r="14" spans="2:13" ht="15.75" thickBot="1">
      <c r="B14" s="403" t="s">
        <v>48</v>
      </c>
      <c r="C14" s="404">
        <f>'Ruch lokalny'!C44</f>
        <v>18.543682362216011</v>
      </c>
      <c r="D14" s="405">
        <v>0.78569999999999995</v>
      </c>
      <c r="E14" s="406">
        <f>C14*D14*16277.67/1000000</f>
        <v>0.23716192808987743</v>
      </c>
      <c r="F14" s="407">
        <v>13.529</v>
      </c>
      <c r="G14" s="406">
        <f>870*F14*16277.67/1000000</f>
        <v>191.5919197641</v>
      </c>
      <c r="H14" s="407">
        <v>5.6040000000000001</v>
      </c>
      <c r="I14" s="406">
        <f>C14*H14*16277.67/1000000</f>
        <v>1.6915558673993549</v>
      </c>
      <c r="J14" s="405">
        <v>0.61099999999999999</v>
      </c>
      <c r="K14" s="406">
        <f>C14*J14*16277.67</f>
        <v>184429.09260903031</v>
      </c>
      <c r="L14" s="405">
        <v>0.55000000000000004</v>
      </c>
      <c r="M14" s="406">
        <f>C14*L14*16277.67</f>
        <v>166016.36814233501</v>
      </c>
    </row>
    <row r="15" spans="2:13" ht="15.75" thickBot="1">
      <c r="C15" s="408" t="s">
        <v>12</v>
      </c>
      <c r="D15" s="409"/>
      <c r="E15" s="410">
        <f>SUM(E12:E14)</f>
        <v>5.6091654785251075</v>
      </c>
      <c r="F15" s="409"/>
      <c r="G15" s="411">
        <f>G12+G13+G14</f>
        <v>932.82679627581001</v>
      </c>
      <c r="H15" s="409"/>
      <c r="I15" s="411">
        <f>I12+I13+I14</f>
        <v>138.92110718625082</v>
      </c>
      <c r="J15" s="409"/>
      <c r="K15" s="411">
        <f>K12+K13+K14</f>
        <v>5424345.9121038001</v>
      </c>
      <c r="L15" s="409"/>
      <c r="M15" s="411">
        <f>M12+M13+M14</f>
        <v>4895017.5048945835</v>
      </c>
    </row>
    <row r="16" spans="2:13" ht="14.25" customHeight="1">
      <c r="C16" s="143"/>
      <c r="D16" s="409"/>
      <c r="E16" s="412"/>
      <c r="F16" s="409"/>
      <c r="G16" s="413"/>
      <c r="H16" s="409"/>
      <c r="I16" s="413"/>
      <c r="J16" s="409"/>
      <c r="K16" s="413"/>
      <c r="L16" s="409"/>
      <c r="M16" s="413"/>
    </row>
    <row r="17" spans="2:13" ht="14.25" customHeight="1" thickBot="1">
      <c r="C17" s="143"/>
      <c r="D17" s="409"/>
      <c r="E17" s="412"/>
      <c r="F17" s="409"/>
      <c r="G17" s="413"/>
      <c r="H17" s="409"/>
      <c r="I17" s="413"/>
      <c r="J17" s="409"/>
      <c r="K17" s="413"/>
      <c r="L17" s="409"/>
      <c r="M17" s="413"/>
    </row>
    <row r="18" spans="2:13" ht="48.75" customHeight="1" thickBot="1">
      <c r="B18" s="386" t="s">
        <v>163</v>
      </c>
      <c r="C18" s="387" t="s">
        <v>43</v>
      </c>
      <c r="D18" s="388" t="s">
        <v>210</v>
      </c>
      <c r="E18" s="389" t="s">
        <v>211</v>
      </c>
      <c r="F18" s="390" t="s">
        <v>212</v>
      </c>
      <c r="G18" s="389" t="s">
        <v>213</v>
      </c>
      <c r="H18" s="390" t="s">
        <v>214</v>
      </c>
      <c r="I18" s="389" t="s">
        <v>215</v>
      </c>
      <c r="J18" s="390" t="s">
        <v>216</v>
      </c>
      <c r="K18" s="389" t="s">
        <v>217</v>
      </c>
      <c r="L18" s="391" t="s">
        <v>218</v>
      </c>
      <c r="M18" s="386" t="s">
        <v>219</v>
      </c>
    </row>
    <row r="19" spans="2:13" ht="14.25" customHeight="1">
      <c r="B19" s="392" t="s">
        <v>122</v>
      </c>
      <c r="C19" s="393">
        <f>'Ruch lokalny'!C69</f>
        <v>3092.4819035332903</v>
      </c>
      <c r="D19" s="394">
        <v>3.5000000000000003E-2</v>
      </c>
      <c r="E19" s="395">
        <f>C19*D19*11668.67/1000000</f>
        <v>1.262980278465563</v>
      </c>
      <c r="F19" s="396">
        <v>0.67800000000000005</v>
      </c>
      <c r="G19" s="397">
        <f>43052*F19*11668.67/1000000</f>
        <v>340.59979580952</v>
      </c>
      <c r="H19" s="396">
        <v>3.0870000000000002</v>
      </c>
      <c r="I19" s="397">
        <f>C19*H19*11668.67/1000000</f>
        <v>111.39486056066265</v>
      </c>
      <c r="J19" s="394">
        <v>1.4E-2</v>
      </c>
      <c r="K19" s="397">
        <f>C19*J19*11668.67</f>
        <v>505192.11138622515</v>
      </c>
      <c r="L19" s="396">
        <v>1.2999999999999999E-2</v>
      </c>
      <c r="M19" s="397">
        <f>C19*L19*11668.67</f>
        <v>469106.96057292336</v>
      </c>
    </row>
    <row r="20" spans="2:13" ht="14.25" customHeight="1">
      <c r="B20" s="398" t="s">
        <v>34</v>
      </c>
      <c r="C20" s="399">
        <f>'Ruch lokalny'!C72</f>
        <v>508.19984949473229</v>
      </c>
      <c r="D20" s="400">
        <v>0.48199999999999998</v>
      </c>
      <c r="E20" s="401">
        <f>C20*16277.67*D20/1000000</f>
        <v>3.9872531520682113</v>
      </c>
      <c r="F20" s="402">
        <v>5.9870000000000001</v>
      </c>
      <c r="G20" s="401">
        <f>4111*16277.67*F20/1000000</f>
        <v>400.63508070219001</v>
      </c>
      <c r="H20" s="402">
        <v>2.7469999999999999</v>
      </c>
      <c r="I20" s="401">
        <f>C20*16277.67*H20/1000000</f>
        <v>22.724034043011152</v>
      </c>
      <c r="J20" s="400">
        <v>0.55800000000000005</v>
      </c>
      <c r="K20" s="401">
        <f>C20*16277.67*J20</f>
        <v>4615948.6698217057</v>
      </c>
      <c r="L20" s="402">
        <v>0.502</v>
      </c>
      <c r="M20" s="401">
        <f>C20*16277.67*L20</f>
        <v>4152699.3409507093</v>
      </c>
    </row>
    <row r="21" spans="2:13" ht="14.25" customHeight="1" thickBot="1">
      <c r="B21" s="403" t="s">
        <v>48</v>
      </c>
      <c r="C21" s="404">
        <f>'Ruch lokalny'!C75</f>
        <v>18.123342650326094</v>
      </c>
      <c r="D21" s="405">
        <v>0.78569999999999995</v>
      </c>
      <c r="E21" s="406">
        <f>C21*D21*16277.67/1000000</f>
        <v>0.23178604995643409</v>
      </c>
      <c r="F21" s="407">
        <v>13.529</v>
      </c>
      <c r="G21" s="406">
        <f>870*F21*16277.67/1000000</f>
        <v>191.5919197641</v>
      </c>
      <c r="H21" s="407">
        <v>5.6040000000000001</v>
      </c>
      <c r="I21" s="406">
        <f>C21*H21*16277.67/1000000</f>
        <v>1.6532124525338636</v>
      </c>
      <c r="J21" s="405">
        <v>0.61099999999999999</v>
      </c>
      <c r="K21" s="406">
        <f>C21*J21*16277.67</f>
        <v>180248.53827590839</v>
      </c>
      <c r="L21" s="405">
        <v>0.55000000000000004</v>
      </c>
      <c r="M21" s="406">
        <f>C21*L21*16277.67</f>
        <v>162253.18502741348</v>
      </c>
    </row>
    <row r="22" spans="2:13" ht="14.25" customHeight="1" thickBot="1">
      <c r="C22" s="408" t="s">
        <v>12</v>
      </c>
      <c r="D22" s="409"/>
      <c r="E22" s="410">
        <f>SUM(E19:E21)</f>
        <v>5.4820194804902087</v>
      </c>
      <c r="F22" s="409"/>
      <c r="G22" s="411">
        <f>G19+G20+G21</f>
        <v>932.82679627581001</v>
      </c>
      <c r="H22" s="409"/>
      <c r="I22" s="411">
        <f>I19+I20+I21</f>
        <v>135.77210705620766</v>
      </c>
      <c r="J22" s="409"/>
      <c r="K22" s="411">
        <f>K19+K20+K21</f>
        <v>5301389.3194838399</v>
      </c>
      <c r="L22" s="409"/>
      <c r="M22" s="411">
        <f>M19+M20+M21</f>
        <v>4784059.4865510454</v>
      </c>
    </row>
    <row r="23" spans="2:13" ht="14.25" customHeight="1">
      <c r="C23" s="143"/>
      <c r="D23" s="409"/>
      <c r="E23" s="412"/>
      <c r="F23" s="409"/>
      <c r="G23" s="413"/>
      <c r="H23" s="409"/>
      <c r="I23" s="413"/>
      <c r="J23" s="409"/>
      <c r="K23" s="413"/>
      <c r="L23" s="409"/>
      <c r="M23" s="413"/>
    </row>
    <row r="24" spans="2:13" ht="14.25" customHeight="1">
      <c r="C24" s="143"/>
      <c r="D24" s="409"/>
      <c r="E24" s="412"/>
      <c r="F24" s="409"/>
      <c r="G24" s="413"/>
      <c r="H24" s="409"/>
      <c r="I24" s="413"/>
      <c r="J24" s="409"/>
      <c r="K24" s="413"/>
      <c r="L24" s="409"/>
      <c r="M24" s="413"/>
    </row>
    <row r="25" spans="2:13">
      <c r="C25" s="143"/>
      <c r="D25" s="409"/>
      <c r="E25" s="412"/>
      <c r="F25" s="409"/>
      <c r="G25" s="413"/>
      <c r="H25" s="409"/>
      <c r="I25" s="413"/>
      <c r="J25" s="409"/>
      <c r="K25" s="413"/>
      <c r="L25" s="409"/>
      <c r="M25" s="413"/>
    </row>
    <row r="26" spans="2:13">
      <c r="C26" s="143"/>
      <c r="D26" s="409"/>
      <c r="E26" s="412"/>
      <c r="F26" s="409"/>
      <c r="G26" s="413"/>
      <c r="H26" s="409"/>
      <c r="I26" s="413"/>
      <c r="J26" s="409"/>
      <c r="K26" s="413"/>
      <c r="L26" s="409"/>
      <c r="M26" s="413"/>
    </row>
    <row r="27" spans="2:13">
      <c r="C27" s="409"/>
      <c r="D27" s="409"/>
      <c r="E27" s="412"/>
      <c r="F27" s="409"/>
      <c r="G27" s="414"/>
      <c r="H27" s="409"/>
      <c r="I27" s="414"/>
      <c r="J27" s="409"/>
      <c r="K27" s="414"/>
      <c r="L27" s="409"/>
      <c r="M27" s="414"/>
    </row>
    <row r="61" spans="2:8">
      <c r="B61" s="415"/>
      <c r="C61" s="199"/>
      <c r="D61" s="374"/>
      <c r="E61" s="374"/>
      <c r="F61" s="374"/>
      <c r="G61" s="374"/>
      <c r="H61" s="374"/>
    </row>
    <row r="62" spans="2:8">
      <c r="B62" s="374"/>
      <c r="C62" s="416"/>
      <c r="D62" s="417"/>
      <c r="E62" s="418"/>
      <c r="F62" s="418"/>
      <c r="G62" s="418"/>
      <c r="H62" s="418"/>
    </row>
    <row r="63" spans="2:8">
      <c r="B63" s="374"/>
      <c r="C63" s="416"/>
      <c r="D63" s="417"/>
      <c r="E63" s="417"/>
      <c r="F63" s="417"/>
      <c r="G63" s="417"/>
      <c r="H63" s="417"/>
    </row>
    <row r="64" spans="2:8">
      <c r="B64" s="374"/>
      <c r="C64" s="416"/>
      <c r="D64" s="417"/>
      <c r="E64" s="417"/>
      <c r="F64" s="417"/>
      <c r="G64" s="417"/>
      <c r="H64" s="417"/>
    </row>
    <row r="65" spans="2:8">
      <c r="B65" s="415"/>
      <c r="C65" s="419"/>
      <c r="D65" s="417"/>
      <c r="E65" s="417"/>
      <c r="F65" s="417"/>
      <c r="G65" s="417"/>
      <c r="H65" s="417"/>
    </row>
    <row r="66" spans="2:8">
      <c r="B66" s="415"/>
      <c r="C66" s="420"/>
      <c r="D66" s="420"/>
      <c r="E66" s="417"/>
      <c r="F66" s="420"/>
      <c r="G66" s="416"/>
      <c r="H66" s="420"/>
    </row>
    <row r="67" spans="2:8">
      <c r="B67" s="415"/>
      <c r="C67" s="420"/>
      <c r="D67" s="420"/>
      <c r="E67" s="420"/>
      <c r="F67" s="420"/>
      <c r="G67" s="420"/>
      <c r="H67" s="420"/>
    </row>
    <row r="68" spans="2:8">
      <c r="B68" s="420"/>
      <c r="C68" s="420"/>
      <c r="D68" s="420"/>
      <c r="E68" s="420"/>
      <c r="F68" s="420"/>
      <c r="G68" s="420"/>
      <c r="H68" s="420"/>
    </row>
    <row r="69" spans="2:8">
      <c r="B69" s="415"/>
      <c r="C69" s="199"/>
      <c r="D69" s="374"/>
      <c r="E69" s="374"/>
      <c r="F69" s="374"/>
      <c r="G69" s="374"/>
      <c r="H69" s="374"/>
    </row>
    <row r="70" spans="2:8">
      <c r="B70" s="374"/>
      <c r="C70" s="416"/>
      <c r="D70" s="417"/>
      <c r="E70" s="418"/>
      <c r="F70" s="418"/>
      <c r="G70" s="418"/>
      <c r="H70" s="418"/>
    </row>
    <row r="71" spans="2:8">
      <c r="B71" s="374"/>
      <c r="C71" s="416"/>
      <c r="D71" s="417"/>
      <c r="E71" s="417"/>
      <c r="F71" s="417"/>
      <c r="G71" s="417"/>
      <c r="H71" s="417"/>
    </row>
    <row r="72" spans="2:8">
      <c r="B72" s="374"/>
      <c r="C72" s="416"/>
      <c r="D72" s="417"/>
      <c r="E72" s="417"/>
      <c r="F72" s="417"/>
      <c r="G72" s="417"/>
      <c r="H72" s="417"/>
    </row>
    <row r="73" spans="2:8">
      <c r="B73" s="415"/>
      <c r="C73" s="419"/>
      <c r="D73" s="417"/>
      <c r="E73" s="418"/>
      <c r="F73" s="418"/>
      <c r="G73" s="418"/>
      <c r="H73" s="418"/>
    </row>
  </sheetData>
  <mergeCells count="1">
    <mergeCell ref="B2:M2"/>
  </mergeCells>
  <pageMargins left="0.7" right="0.7" top="0.75" bottom="0.75" header="0.3" footer="0.3"/>
  <pageSetup paperSize="9" scale="5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showGridLines="0" view="pageBreakPreview" topLeftCell="G16" zoomScale="90" zoomScaleNormal="100" zoomScaleSheetLayoutView="90" workbookViewId="0">
      <selection activeCell="E4" sqref="E4:J9"/>
    </sheetView>
  </sheetViews>
  <sheetFormatPr defaultRowHeight="15"/>
  <cols>
    <col min="1" max="1" width="2.5" style="11" customWidth="1"/>
    <col min="2" max="2" width="23.25" style="11" customWidth="1"/>
    <col min="3" max="3" width="17.5" style="11" customWidth="1"/>
    <col min="4" max="4" width="2.5" style="11" customWidth="1"/>
    <col min="5" max="5" width="18" style="11" customWidth="1"/>
    <col min="6" max="6" width="14.375" style="11" customWidth="1"/>
    <col min="7" max="8" width="18.625" style="11" customWidth="1"/>
    <col min="9" max="9" width="14.625" style="11" customWidth="1"/>
    <col min="10" max="10" width="16.25" style="11" customWidth="1"/>
    <col min="11" max="11" width="6.25" style="11" customWidth="1"/>
    <col min="12" max="12" width="18" style="11" customWidth="1"/>
    <col min="13" max="13" width="13.5" style="11" bestFit="1" customWidth="1"/>
    <col min="14" max="14" width="9" style="11" customWidth="1"/>
    <col min="15" max="15" width="11.625" style="11" customWidth="1"/>
    <col min="16" max="16" width="9" style="11" customWidth="1"/>
    <col min="17" max="19" width="11.625" style="11" customWidth="1"/>
    <col min="20" max="20" width="9" style="11" customWidth="1"/>
    <col min="21" max="16384" width="9" style="11"/>
  </cols>
  <sheetData>
    <row r="1" spans="2:12" s="17" customFormat="1" ht="15" customHeight="1" thickBot="1">
      <c r="K1" s="11"/>
    </row>
    <row r="2" spans="2:12" s="17" customFormat="1" ht="19.5" thickBot="1">
      <c r="B2" s="18" t="s">
        <v>168</v>
      </c>
      <c r="C2" s="19"/>
      <c r="D2" s="19"/>
      <c r="E2" s="19"/>
      <c r="F2" s="19"/>
      <c r="G2" s="19"/>
      <c r="H2" s="19"/>
      <c r="I2" s="19"/>
      <c r="J2" s="20"/>
      <c r="K2" s="11"/>
    </row>
    <row r="3" spans="2:12" ht="15.75" thickBot="1"/>
    <row r="4" spans="2:12" ht="45.75" thickBot="1">
      <c r="B4" s="630" t="s">
        <v>79</v>
      </c>
      <c r="C4" s="631"/>
      <c r="E4" s="106">
        <v>2000</v>
      </c>
      <c r="F4" s="54" t="s">
        <v>77</v>
      </c>
      <c r="G4" s="75" t="s">
        <v>87</v>
      </c>
      <c r="H4" s="75" t="s">
        <v>257</v>
      </c>
      <c r="I4" s="107" t="s">
        <v>84</v>
      </c>
      <c r="J4" s="108" t="s">
        <v>19</v>
      </c>
    </row>
    <row r="5" spans="2:12">
      <c r="B5" s="103" t="s">
        <v>161</v>
      </c>
      <c r="C5" s="118">
        <v>0.85</v>
      </c>
      <c r="E5" s="305" t="s">
        <v>161</v>
      </c>
      <c r="F5" s="306">
        <v>0.85</v>
      </c>
      <c r="G5" s="307">
        <f>F5*G9</f>
        <v>105127.61324999999</v>
      </c>
      <c r="H5" s="502">
        <f>G5/3.6</f>
        <v>29202.114791666663</v>
      </c>
      <c r="I5" s="496">
        <v>9.8000000000000004E-2</v>
      </c>
      <c r="J5" s="308">
        <f>G5*I5</f>
        <v>10302.5060985</v>
      </c>
      <c r="L5" s="23"/>
    </row>
    <row r="6" spans="2:12">
      <c r="B6" s="103" t="s">
        <v>170</v>
      </c>
      <c r="C6" s="118">
        <v>0.12</v>
      </c>
      <c r="E6" s="305" t="s">
        <v>170</v>
      </c>
      <c r="F6" s="306">
        <v>0.12</v>
      </c>
      <c r="G6" s="307">
        <f>F6*G9</f>
        <v>14841.545399999999</v>
      </c>
      <c r="H6" s="502">
        <f t="shared" ref="H6:H8" si="0">G6/3.6</f>
        <v>4122.6514999999999</v>
      </c>
      <c r="I6" s="497" t="s">
        <v>162</v>
      </c>
      <c r="J6" s="524" t="s">
        <v>162</v>
      </c>
      <c r="L6" s="23"/>
    </row>
    <row r="7" spans="2:12">
      <c r="B7" s="103" t="s">
        <v>78</v>
      </c>
      <c r="C7" s="118">
        <v>0.02</v>
      </c>
      <c r="E7" s="305" t="s">
        <v>78</v>
      </c>
      <c r="F7" s="306">
        <v>0.02</v>
      </c>
      <c r="G7" s="307">
        <f>F7*G9</f>
        <v>2473.5909000000001</v>
      </c>
      <c r="H7" s="502">
        <f t="shared" si="0"/>
        <v>687.1085833333334</v>
      </c>
      <c r="I7" s="497">
        <v>7.5999999999999998E-2</v>
      </c>
      <c r="J7" s="307">
        <f>G7*I7</f>
        <v>187.9929084</v>
      </c>
      <c r="L7" s="23"/>
    </row>
    <row r="8" spans="2:12" ht="15.75" thickBot="1">
      <c r="B8" s="104" t="s">
        <v>196</v>
      </c>
      <c r="C8" s="272">
        <v>0.01</v>
      </c>
      <c r="E8" s="305" t="s">
        <v>196</v>
      </c>
      <c r="F8" s="310">
        <v>0.01</v>
      </c>
      <c r="G8" s="307">
        <f>F8*G9</f>
        <v>1236.7954500000001</v>
      </c>
      <c r="H8" s="502">
        <f t="shared" si="0"/>
        <v>343.5542916666667</v>
      </c>
      <c r="I8" s="498">
        <v>5.5E-2</v>
      </c>
      <c r="J8" s="311">
        <f>G8*I8</f>
        <v>68.023749750000007</v>
      </c>
    </row>
    <row r="9" spans="2:12" ht="15.75" thickBot="1">
      <c r="B9" s="105"/>
      <c r="C9" s="110">
        <f>SUM(C5:C8)</f>
        <v>1</v>
      </c>
      <c r="E9" s="109" t="s">
        <v>12</v>
      </c>
      <c r="F9" s="102"/>
      <c r="G9" s="109">
        <f>C13</f>
        <v>123679.545</v>
      </c>
      <c r="H9" s="503">
        <f>SUM(H5:H8)</f>
        <v>34355.429166666661</v>
      </c>
      <c r="I9" s="102"/>
      <c r="J9" s="109">
        <f>SUM(J5:J8)</f>
        <v>10558.52275665</v>
      </c>
    </row>
    <row r="10" spans="2:12" ht="15.75" thickBot="1"/>
    <row r="11" spans="2:12" ht="44.25" customHeight="1">
      <c r="B11" s="632" t="s">
        <v>80</v>
      </c>
      <c r="C11" s="633"/>
      <c r="E11" s="106">
        <v>2013</v>
      </c>
      <c r="F11" s="54" t="s">
        <v>77</v>
      </c>
      <c r="G11" s="75" t="s">
        <v>87</v>
      </c>
      <c r="H11" s="75" t="str">
        <f>H4</f>
        <v>Potrzeby cieplne zaspokajane z danego rodzaju paliwa [MWh]</v>
      </c>
      <c r="I11" s="107" t="s">
        <v>84</v>
      </c>
      <c r="J11" s="108" t="s">
        <v>19</v>
      </c>
      <c r="L11" s="23"/>
    </row>
    <row r="12" spans="2:12" ht="30">
      <c r="B12" s="111" t="s">
        <v>83</v>
      </c>
      <c r="C12" s="112">
        <v>0.82099999999999995</v>
      </c>
      <c r="E12" s="103" t="s">
        <v>161</v>
      </c>
      <c r="F12" s="118">
        <v>0.85</v>
      </c>
      <c r="G12" s="119">
        <f>F12*G16</f>
        <v>134110.71944999998</v>
      </c>
      <c r="H12" s="502">
        <f>G12/3.6</f>
        <v>37252.977624999992</v>
      </c>
      <c r="I12" s="499">
        <v>9.8000000000000004E-2</v>
      </c>
      <c r="J12" s="249">
        <f>G12*I12</f>
        <v>13142.850506099998</v>
      </c>
    </row>
    <row r="13" spans="2:12" ht="30">
      <c r="B13" s="113" t="s">
        <v>81</v>
      </c>
      <c r="C13" s="114">
        <f>C12*Charakterystyka!C67</f>
        <v>123679.545</v>
      </c>
      <c r="E13" s="103" t="s">
        <v>170</v>
      </c>
      <c r="F13" s="118">
        <v>0.12</v>
      </c>
      <c r="G13" s="119">
        <f>F13*G16</f>
        <v>18933.278039999997</v>
      </c>
      <c r="H13" s="502">
        <f t="shared" ref="H13:H15" si="1">G13/3.6</f>
        <v>5259.2438999999995</v>
      </c>
      <c r="I13" s="500" t="s">
        <v>162</v>
      </c>
      <c r="J13" s="525" t="s">
        <v>162</v>
      </c>
    </row>
    <row r="14" spans="2:12" ht="30">
      <c r="B14" s="113" t="s">
        <v>160</v>
      </c>
      <c r="C14" s="115">
        <f>C12*Charakterystyka!P67</f>
        <v>157777.31699999998</v>
      </c>
      <c r="E14" s="103" t="s">
        <v>78</v>
      </c>
      <c r="F14" s="118">
        <v>0.02</v>
      </c>
      <c r="G14" s="119">
        <f>F14*G16</f>
        <v>3155.5463399999999</v>
      </c>
      <c r="H14" s="502">
        <f t="shared" si="1"/>
        <v>876.54064999999991</v>
      </c>
      <c r="I14" s="500">
        <v>7.5999999999999998E-2</v>
      </c>
      <c r="J14" s="120">
        <f>G14*I14</f>
        <v>239.82152183999997</v>
      </c>
    </row>
    <row r="15" spans="2:12" ht="30.75" thickBot="1">
      <c r="B15" s="116" t="s">
        <v>82</v>
      </c>
      <c r="C15" s="117">
        <f>C12*Charakterystyka!AD67</f>
        <v>168323.883</v>
      </c>
      <c r="E15" s="104" t="s">
        <v>196</v>
      </c>
      <c r="F15" s="272">
        <v>0.01</v>
      </c>
      <c r="G15" s="121">
        <f>F15*G16</f>
        <v>1577.7731699999999</v>
      </c>
      <c r="H15" s="502">
        <f t="shared" si="1"/>
        <v>438.27032499999996</v>
      </c>
      <c r="I15" s="501">
        <v>5.5E-2</v>
      </c>
      <c r="J15" s="274">
        <f>G15*I15</f>
        <v>86.777524349999993</v>
      </c>
    </row>
    <row r="16" spans="2:12" ht="15.75" thickBot="1">
      <c r="E16" s="109" t="s">
        <v>12</v>
      </c>
      <c r="F16" s="102"/>
      <c r="G16" s="109">
        <f>C14</f>
        <v>157777.31699999998</v>
      </c>
      <c r="H16" s="503">
        <f>SUM(H12:H15)</f>
        <v>43827.032499999994</v>
      </c>
      <c r="I16" s="102"/>
      <c r="J16" s="109">
        <f>SUM(J12:J15)</f>
        <v>13469.449552289998</v>
      </c>
    </row>
    <row r="17" spans="2:12">
      <c r="B17" s="253"/>
      <c r="L17" s="23"/>
    </row>
    <row r="18" spans="2:12" ht="15.75" thickBot="1"/>
    <row r="19" spans="2:12" ht="45">
      <c r="E19" s="106" t="s">
        <v>86</v>
      </c>
      <c r="F19" s="54" t="s">
        <v>77</v>
      </c>
      <c r="G19" s="75" t="s">
        <v>87</v>
      </c>
      <c r="H19" s="75" t="str">
        <f>H11</f>
        <v>Potrzeby cieplne zaspokajane z danego rodzaju paliwa [MWh]</v>
      </c>
      <c r="I19" s="107" t="s">
        <v>84</v>
      </c>
      <c r="J19" s="108" t="s">
        <v>19</v>
      </c>
    </row>
    <row r="20" spans="2:12">
      <c r="E20" s="103" t="s">
        <v>161</v>
      </c>
      <c r="F20" s="118">
        <v>0.85</v>
      </c>
      <c r="G20" s="119">
        <f>F20*G24</f>
        <v>143075.30054999999</v>
      </c>
      <c r="H20" s="502">
        <f>G20/3.6</f>
        <v>39743.139041666662</v>
      </c>
      <c r="I20" s="248">
        <v>9.8000000000000004E-2</v>
      </c>
      <c r="J20" s="249">
        <f>G20*I20</f>
        <v>14021.379453899999</v>
      </c>
    </row>
    <row r="21" spans="2:12">
      <c r="E21" s="103" t="s">
        <v>170</v>
      </c>
      <c r="F21" s="118">
        <v>0.12</v>
      </c>
      <c r="G21" s="119">
        <f>F21*G24</f>
        <v>20198.865959999999</v>
      </c>
      <c r="H21" s="502">
        <f t="shared" ref="H21:H23" si="2">G21/3.6</f>
        <v>5610.7960999999996</v>
      </c>
      <c r="I21" s="309" t="s">
        <v>162</v>
      </c>
      <c r="J21" s="525" t="s">
        <v>162</v>
      </c>
    </row>
    <row r="22" spans="2:12">
      <c r="E22" s="103" t="s">
        <v>78</v>
      </c>
      <c r="F22" s="118">
        <v>0.02</v>
      </c>
      <c r="G22" s="119">
        <f>F22*G24</f>
        <v>3366.47766</v>
      </c>
      <c r="H22" s="502">
        <f t="shared" si="2"/>
        <v>935.13268333333326</v>
      </c>
      <c r="I22" s="309">
        <v>7.5999999999999998E-2</v>
      </c>
      <c r="J22" s="120">
        <f>G22*I22</f>
        <v>255.85230215999999</v>
      </c>
    </row>
    <row r="23" spans="2:12" ht="15.75" thickBot="1">
      <c r="E23" s="104" t="s">
        <v>196</v>
      </c>
      <c r="F23" s="272">
        <v>0.01</v>
      </c>
      <c r="G23" s="121">
        <f>F23*G24</f>
        <v>1683.23883</v>
      </c>
      <c r="H23" s="502">
        <f t="shared" si="2"/>
        <v>467.56634166666663</v>
      </c>
      <c r="I23" s="273">
        <v>5.5E-2</v>
      </c>
      <c r="J23" s="274">
        <f>G23*I23</f>
        <v>92.578135650000007</v>
      </c>
    </row>
    <row r="24" spans="2:12" ht="15.75" thickBot="1">
      <c r="E24" s="109" t="s">
        <v>12</v>
      </c>
      <c r="F24" s="102"/>
      <c r="G24" s="109">
        <f>C15</f>
        <v>168323.883</v>
      </c>
      <c r="H24" s="503">
        <f>SUM(H20:H23)</f>
        <v>46756.634166666656</v>
      </c>
      <c r="I24" s="102"/>
      <c r="J24" s="109">
        <f>SUM(J20:J23)</f>
        <v>14369.809891709998</v>
      </c>
    </row>
    <row r="25" spans="2:12" s="17" customFormat="1" ht="15" customHeight="1">
      <c r="K25" s="11"/>
    </row>
    <row r="26" spans="2:12" s="17" customFormat="1" ht="18.75">
      <c r="B26" s="208"/>
      <c r="C26" s="209"/>
      <c r="D26" s="209"/>
      <c r="E26" s="209"/>
      <c r="F26" s="209"/>
      <c r="G26" s="209"/>
      <c r="H26" s="209"/>
      <c r="I26" s="209"/>
      <c r="J26" s="209"/>
      <c r="K26" s="201"/>
    </row>
    <row r="28" spans="2:12" ht="18.75">
      <c r="E28" s="197"/>
      <c r="F28" s="198"/>
      <c r="G28" s="199"/>
      <c r="H28" s="199"/>
      <c r="I28" s="200"/>
      <c r="J28" s="198"/>
      <c r="K28" s="201"/>
    </row>
    <row r="29" spans="2:12">
      <c r="E29" s="202"/>
      <c r="F29" s="203"/>
      <c r="G29" s="204"/>
      <c r="H29" s="204"/>
      <c r="I29" s="205"/>
      <c r="J29" s="204"/>
      <c r="K29" s="201"/>
    </row>
    <row r="30" spans="2:12">
      <c r="E30" s="202"/>
      <c r="F30" s="203"/>
      <c r="G30" s="204"/>
      <c r="H30" s="204"/>
      <c r="I30" s="205"/>
      <c r="J30" s="204"/>
      <c r="K30" s="201"/>
    </row>
    <row r="31" spans="2:12">
      <c r="E31" s="202"/>
      <c r="F31" s="203"/>
      <c r="G31" s="204"/>
      <c r="H31" s="204"/>
      <c r="I31" s="205"/>
      <c r="J31" s="204"/>
      <c r="K31" s="201"/>
    </row>
    <row r="32" spans="2:12">
      <c r="E32" s="202"/>
      <c r="F32" s="203"/>
      <c r="G32" s="204"/>
      <c r="H32" s="204"/>
      <c r="I32" s="205"/>
      <c r="J32" s="204"/>
      <c r="K32" s="201"/>
    </row>
    <row r="33" spans="5:11">
      <c r="E33" s="202"/>
      <c r="F33" s="203"/>
      <c r="G33" s="204"/>
      <c r="H33" s="204"/>
      <c r="I33" s="205"/>
      <c r="J33" s="204"/>
      <c r="K33" s="201"/>
    </row>
    <row r="34" spans="5:11">
      <c r="E34" s="206"/>
      <c r="F34" s="207"/>
      <c r="G34" s="206"/>
      <c r="H34" s="206"/>
      <c r="I34" s="207"/>
      <c r="J34" s="206"/>
      <c r="K34" s="201"/>
    </row>
    <row r="35" spans="5:11">
      <c r="E35" s="201"/>
      <c r="F35" s="201"/>
      <c r="G35" s="201"/>
      <c r="H35" s="201"/>
      <c r="I35" s="201"/>
      <c r="J35" s="201"/>
      <c r="K35" s="201"/>
    </row>
    <row r="36" spans="5:11" ht="18.75">
      <c r="E36" s="197"/>
      <c r="F36" s="198"/>
      <c r="G36" s="199"/>
      <c r="H36" s="199"/>
      <c r="I36" s="200"/>
      <c r="J36" s="198"/>
      <c r="K36" s="201"/>
    </row>
    <row r="37" spans="5:11">
      <c r="E37" s="202"/>
      <c r="F37" s="203"/>
      <c r="G37" s="204"/>
      <c r="H37" s="204"/>
      <c r="I37" s="205"/>
      <c r="J37" s="204"/>
      <c r="K37" s="201"/>
    </row>
    <row r="38" spans="5:11">
      <c r="E38" s="202"/>
      <c r="F38" s="203"/>
      <c r="G38" s="204"/>
      <c r="H38" s="204"/>
      <c r="I38" s="205"/>
      <c r="J38" s="204"/>
      <c r="K38" s="201"/>
    </row>
    <row r="39" spans="5:11">
      <c r="E39" s="202"/>
      <c r="F39" s="203"/>
      <c r="G39" s="204"/>
      <c r="H39" s="204"/>
      <c r="I39" s="205"/>
      <c r="J39" s="204"/>
      <c r="K39" s="201"/>
    </row>
    <row r="40" spans="5:11">
      <c r="E40" s="202"/>
      <c r="F40" s="203"/>
      <c r="G40" s="204"/>
      <c r="H40" s="204"/>
      <c r="I40" s="205"/>
      <c r="J40" s="204"/>
      <c r="K40" s="201"/>
    </row>
    <row r="41" spans="5:11">
      <c r="E41" s="202"/>
      <c r="F41" s="203"/>
      <c r="G41" s="204"/>
      <c r="H41" s="204"/>
      <c r="I41" s="205"/>
      <c r="J41" s="204"/>
      <c r="K41" s="201"/>
    </row>
    <row r="42" spans="5:11">
      <c r="E42" s="206"/>
      <c r="F42" s="207"/>
      <c r="G42" s="206"/>
      <c r="H42" s="206"/>
      <c r="I42" s="207"/>
      <c r="J42" s="206"/>
      <c r="K42" s="201"/>
    </row>
    <row r="43" spans="5:11">
      <c r="E43" s="201"/>
      <c r="F43" s="201"/>
      <c r="G43" s="201"/>
      <c r="H43" s="201"/>
      <c r="I43" s="201"/>
      <c r="J43" s="201"/>
      <c r="K43" s="201"/>
    </row>
    <row r="44" spans="5:11" ht="18.75">
      <c r="E44" s="197"/>
      <c r="F44" s="198"/>
      <c r="G44" s="199"/>
      <c r="H44" s="199"/>
      <c r="I44" s="200"/>
      <c r="J44" s="198"/>
      <c r="K44" s="201"/>
    </row>
    <row r="45" spans="5:11">
      <c r="E45" s="202"/>
      <c r="F45" s="203"/>
      <c r="G45" s="204"/>
      <c r="H45" s="204"/>
      <c r="I45" s="205"/>
      <c r="J45" s="204"/>
      <c r="K45" s="201"/>
    </row>
    <row r="46" spans="5:11">
      <c r="E46" s="202"/>
      <c r="F46" s="203"/>
      <c r="G46" s="204"/>
      <c r="H46" s="204"/>
      <c r="I46" s="205"/>
      <c r="J46" s="204"/>
      <c r="K46" s="201"/>
    </row>
    <row r="47" spans="5:11">
      <c r="E47" s="202"/>
      <c r="F47" s="203"/>
      <c r="G47" s="204"/>
      <c r="H47" s="204"/>
      <c r="I47" s="205"/>
      <c r="J47" s="204"/>
      <c r="K47" s="201"/>
    </row>
    <row r="48" spans="5:11">
      <c r="E48" s="202"/>
      <c r="F48" s="203"/>
      <c r="G48" s="204"/>
      <c r="H48" s="204"/>
      <c r="I48" s="205"/>
      <c r="J48" s="204"/>
      <c r="K48" s="201"/>
    </row>
    <row r="49" spans="5:11">
      <c r="E49" s="202"/>
      <c r="F49" s="203"/>
      <c r="G49" s="204"/>
      <c r="H49" s="204"/>
      <c r="I49" s="205"/>
      <c r="J49" s="204"/>
      <c r="K49" s="201"/>
    </row>
    <row r="50" spans="5:11">
      <c r="E50" s="206"/>
      <c r="F50" s="207"/>
      <c r="G50" s="206"/>
      <c r="H50" s="206"/>
      <c r="I50" s="207"/>
      <c r="J50" s="206"/>
      <c r="K50" s="201"/>
    </row>
  </sheetData>
  <mergeCells count="2">
    <mergeCell ref="B4:C4"/>
    <mergeCell ref="B11:C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16</vt:i4>
      </vt:variant>
    </vt:vector>
  </HeadingPairs>
  <TitlesOfParts>
    <vt:vector size="31" baseType="lpstr">
      <vt:lpstr>INFO</vt:lpstr>
      <vt:lpstr>Wskaźniki</vt:lpstr>
      <vt:lpstr>Charakterystyka</vt:lpstr>
      <vt:lpstr>En. elektryczna</vt:lpstr>
      <vt:lpstr>En. elektryczna wykr.</vt:lpstr>
      <vt:lpstr>Ruch lokalny</vt:lpstr>
      <vt:lpstr>Tranzyt</vt:lpstr>
      <vt:lpstr>Ruch lokalny - emisja</vt:lpstr>
      <vt:lpstr>Ciepło</vt:lpstr>
      <vt:lpstr>Ciepło wykr.</vt:lpstr>
      <vt:lpstr>Ciepło - niska emisja</vt:lpstr>
      <vt:lpstr>Oświetlenie</vt:lpstr>
      <vt:lpstr>Obiekty publiczne</vt:lpstr>
      <vt:lpstr>Bilans</vt:lpstr>
      <vt:lpstr>Planowane rezultaty</vt:lpstr>
      <vt:lpstr>Bilans!Obszar_wydruku</vt:lpstr>
      <vt:lpstr>Charakterystyka!Obszar_wydruku</vt:lpstr>
      <vt:lpstr>Ciepło!Obszar_wydruku</vt:lpstr>
      <vt:lpstr>'Ciepło - niska emisja'!Obszar_wydruku</vt:lpstr>
      <vt:lpstr>'Ciepło wykr.'!Obszar_wydruku</vt:lpstr>
      <vt:lpstr>'En. elektryczna'!Obszar_wydruku</vt:lpstr>
      <vt:lpstr>'En. elektryczna wykr.'!Obszar_wydruku</vt:lpstr>
      <vt:lpstr>'Obiekty publiczne'!Obszar_wydruku</vt:lpstr>
      <vt:lpstr>Oświetlenie!Obszar_wydruku</vt:lpstr>
      <vt:lpstr>'Ruch lokalny'!Obszar_wydruku</vt:lpstr>
      <vt:lpstr>Tranzyt!Obszar_wydruku</vt:lpstr>
      <vt:lpstr>Wskaźniki!Obszar_wydruku</vt:lpstr>
      <vt:lpstr>Bilans!Tytuły_wydruku</vt:lpstr>
      <vt:lpstr>Charakterystyka!Tytuły_wydruku</vt:lpstr>
      <vt:lpstr>'Ciepło wykr.'!Tytuły_wydruku</vt:lpstr>
      <vt:lpstr>'Ruch lokalny'!Tytuły_wydruku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Agnieszka Skrabut</cp:lastModifiedBy>
  <cp:lastPrinted>2015-07-09T08:05:10Z</cp:lastPrinted>
  <dcterms:created xsi:type="dcterms:W3CDTF">2014-12-03T21:36:36Z</dcterms:created>
  <dcterms:modified xsi:type="dcterms:W3CDTF">2016-04-13T06:10:17Z</dcterms:modified>
</cp:coreProperties>
</file>